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15" yWindow="1035" windowWidth="13560" windowHeight="9315" firstSheet="11" activeTab="12"/>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45621"/>
</workbook>
</file>

<file path=xl/calcChain.xml><?xml version="1.0" encoding="utf-8"?>
<calcChain xmlns="http://schemas.openxmlformats.org/spreadsheetml/2006/main">
  <c r="I13" i="12" l="1"/>
  <c r="I9" i="12"/>
  <c r="H20" i="12"/>
  <c r="H19" i="12"/>
  <c r="D20" i="12"/>
  <c r="D19" i="12"/>
  <c r="B20" i="12"/>
  <c r="A20" i="12"/>
  <c r="B19" i="12"/>
  <c r="A19" i="12"/>
  <c r="S16" i="5"/>
  <c r="N26" i="8"/>
  <c r="P24" i="8"/>
  <c r="P23" i="8"/>
  <c r="P22" i="8"/>
  <c r="P21" i="8"/>
  <c r="N18" i="8"/>
  <c r="P16" i="8"/>
  <c r="P15" i="8"/>
  <c r="P14" i="8"/>
  <c r="P13" i="8"/>
  <c r="P18" i="8" s="1"/>
  <c r="N10" i="8"/>
  <c r="P8" i="8"/>
  <c r="P7" i="8"/>
  <c r="P6" i="8"/>
  <c r="P5" i="8"/>
  <c r="P26" i="8" l="1"/>
  <c r="P10"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L21" i="2"/>
  <c r="L20" i="2"/>
  <c r="L18" i="2"/>
  <c r="L12" i="2"/>
  <c r="L11" i="2"/>
  <c r="N27" i="3"/>
  <c r="N25" i="3"/>
  <c r="N20" i="3"/>
  <c r="N19" i="3"/>
  <c r="N17" i="3"/>
  <c r="N14" i="3"/>
  <c r="N13" i="3"/>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K6" i="12"/>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C20" i="12" l="1"/>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O27" i="3"/>
  <c r="M19" i="2" l="1"/>
  <c r="L19" i="2" s="1"/>
  <c r="M20" i="10" l="1"/>
  <c r="M19" i="10"/>
  <c r="M18" i="10"/>
  <c r="M17" i="10"/>
  <c r="M15" i="10"/>
  <c r="M12" i="10"/>
  <c r="M11" i="10"/>
  <c r="M10" i="10"/>
  <c r="M7" i="10"/>
  <c r="M6" i="10"/>
  <c r="O8" i="1"/>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O7" i="1" l="1"/>
  <c r="O17" i="1"/>
  <c r="O16" i="1"/>
  <c r="O15" i="1"/>
  <c r="O14" i="1"/>
  <c r="O13" i="1"/>
  <c r="O12" i="1"/>
  <c r="O11" i="1"/>
  <c r="O10" i="1"/>
  <c r="O9" i="1"/>
  <c r="O6" i="1"/>
  <c r="L37" i="1" s="1"/>
  <c r="N37" i="1" s="1"/>
  <c r="O33" i="1"/>
  <c r="S18" i="10"/>
  <c r="R18" i="10"/>
  <c r="Q18" i="10"/>
  <c r="P18" i="10"/>
  <c r="S17" i="10"/>
  <c r="R17" i="10"/>
  <c r="Q17" i="10"/>
  <c r="P17" i="10"/>
  <c r="K26" i="8"/>
  <c r="K18" i="8"/>
  <c r="K10" i="8"/>
  <c r="M14" i="7"/>
  <c r="N14" i="7"/>
  <c r="O19" i="3" l="1"/>
  <c r="O18" i="3"/>
  <c r="N18" i="3" s="1"/>
  <c r="O17" i="3"/>
  <c r="O16" i="3"/>
  <c r="N16" i="3" s="1"/>
  <c r="O14" i="3"/>
  <c r="O13" i="3"/>
  <c r="O12" i="3"/>
  <c r="N12" i="3" s="1"/>
  <c r="O11" i="3"/>
  <c r="N11" i="3" s="1"/>
  <c r="O10" i="3"/>
  <c r="N10" i="3" s="1"/>
  <c r="O9" i="3"/>
  <c r="N9" i="3" s="1"/>
  <c r="O8" i="3"/>
  <c r="N8" i="3" s="1"/>
  <c r="O7" i="3"/>
  <c r="N7" i="3" s="1"/>
  <c r="O6" i="3"/>
  <c r="N6" i="3" s="1"/>
  <c r="O5" i="3"/>
  <c r="N5" i="3" s="1"/>
  <c r="O26" i="3"/>
  <c r="N26" i="3" s="1"/>
  <c r="O25" i="3"/>
  <c r="O24" i="3"/>
  <c r="N24" i="3" s="1"/>
  <c r="O23" i="3"/>
  <c r="N23" i="3" s="1"/>
  <c r="O22" i="3"/>
  <c r="N22" i="3" s="1"/>
  <c r="O21" i="3"/>
  <c r="N21" i="3" s="1"/>
  <c r="O20" i="3"/>
  <c r="M20" i="2"/>
  <c r="M18" i="2"/>
  <c r="M15" i="2"/>
  <c r="L15" i="2" s="1"/>
  <c r="M14" i="2"/>
  <c r="L14" i="2" s="1"/>
  <c r="M13" i="2"/>
  <c r="L13" i="2" s="1"/>
  <c r="M12" i="2"/>
  <c r="M11" i="2"/>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M12" i="5"/>
  <c r="N8" i="5" s="1"/>
  <c r="L12" i="5"/>
  <c r="N11" i="5"/>
  <c r="N10" i="5"/>
  <c r="U9" i="5"/>
  <c r="N9" i="5"/>
  <c r="U8" i="5"/>
  <c r="U7" i="5"/>
  <c r="N7" i="5"/>
  <c r="U6" i="5"/>
  <c r="U5" i="5"/>
  <c r="N5" i="5"/>
  <c r="U4" i="5"/>
  <c r="S36" i="1"/>
  <c r="S24" i="1"/>
  <c r="S25" i="1" s="1"/>
  <c r="O19" i="1"/>
  <c r="M15" i="5" l="1"/>
  <c r="N4" i="5"/>
  <c r="N6" i="5"/>
  <c r="U12" i="5"/>
  <c r="M22" i="2"/>
  <c r="L22" i="2" s="1"/>
  <c r="N19" i="1"/>
  <c r="M10" i="8"/>
  <c r="K28" i="8"/>
  <c r="M26" i="8"/>
  <c r="M18" i="8"/>
  <c r="S26" i="1"/>
  <c r="N12" i="5" l="1"/>
  <c r="P19" i="10"/>
  <c r="O28" i="3"/>
  <c r="N28" i="3" s="1"/>
  <c r="M28" i="8"/>
</calcChain>
</file>

<file path=xl/sharedStrings.xml><?xml version="1.0" encoding="utf-8"?>
<sst xmlns="http://schemas.openxmlformats.org/spreadsheetml/2006/main" count="4810" uniqueCount="2353">
  <si>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</si>
  <si>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</si>
  <si>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</si>
  <si>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</si>
  <si>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</si>
  <si>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</si>
  <si>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</si>
  <si>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</si>
  <si>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</si>
  <si>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</si>
  <si>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</si>
  <si>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</si>
  <si>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</si>
  <si>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</si>
  <si>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</si>
  <si>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</si>
  <si>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</si>
  <si>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</si>
  <si>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</si>
  <si>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</si>
  <si>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</si>
  <si>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</si>
  <si>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</si>
  <si>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</si>
  <si>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</si>
  <si>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</si>
  <si>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</si>
  <si>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</si>
  <si>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</si>
  <si>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</si>
  <si>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</si>
  <si>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</si>
  <si>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</si>
  <si>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</si>
  <si>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</si>
  <si>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</si>
  <si>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</si>
  <si>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</si>
  <si>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</si>
  <si>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</si>
  <si>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</si>
  <si>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</si>
  <si>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</si>
  <si>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</si>
  <si>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</si>
  <si>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</si>
  <si>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</si>
  <si>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</si>
  <si>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</si>
  <si>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</si>
  <si>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</si>
  <si>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</si>
  <si>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</si>
  <si>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</si>
  <si>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</si>
  <si>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</si>
  <si>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</si>
  <si>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</si>
  <si>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</si>
  <si>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</si>
  <si>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</si>
  <si>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</si>
  <si>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</si>
  <si>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</si>
  <si>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</si>
  <si>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</si>
  <si>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</si>
  <si>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</si>
  <si>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</si>
  <si>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</si>
  <si>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</si>
  <si>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</si>
  <si>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</si>
  <si>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</si>
  <si>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</si>
  <si>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</si>
  <si>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</si>
  <si>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</si>
  <si>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</si>
  <si>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</si>
  <si>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</si>
  <si>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</si>
  <si>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</si>
  <si>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</si>
  <si>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</si>
  <si>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</si>
  <si>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</si>
  <si>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</si>
  <si>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</si>
  <si>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</si>
  <si>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</si>
  <si>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</si>
  <si>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</si>
  <si>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</si>
  <si>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</si>
  <si>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</si>
  <si>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</si>
  <si>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</si>
  <si>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</si>
  <si>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</si>
  <si>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</si>
  <si>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</si>
  <si>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</si>
  <si>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</si>
  <si>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</si>
  <si>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</si>
  <si>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</si>
  <si>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</si>
  <si>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</si>
  <si>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</si>
  <si>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</si>
  <si>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</si>
  <si>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</si>
  <si>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</si>
  <si>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</si>
  <si>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</si>
  <si>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</si>
  <si>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</si>
  <si>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</si>
  <si>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</si>
  <si>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</si>
  <si>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</si>
  <si>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</si>
  <si>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</si>
  <si>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</si>
  <si>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</si>
  <si>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</si>
  <si>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</si>
  <si>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</si>
  <si>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</si>
  <si>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</si>
  <si>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</si>
  <si>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</si>
  <si>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</si>
  <si>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</si>
  <si>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</si>
  <si>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</si>
  <si>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</si>
  <si>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</si>
  <si>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</si>
  <si>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</si>
  <si>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</si>
  <si>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</si>
  <si>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</si>
  <si>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</si>
  <si>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</si>
  <si>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</si>
  <si>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</si>
  <si>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</si>
  <si>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</si>
  <si>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</si>
  <si>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</si>
  <si>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</si>
  <si>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</si>
  <si>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</si>
  <si>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</si>
  <si>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</si>
  <si>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</si>
  <si>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</si>
  <si>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</si>
  <si>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</si>
  <si>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</si>
  <si>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</si>
  <si>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</si>
  <si>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</si>
  <si>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</si>
  <si>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</si>
  <si>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</si>
  <si>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</si>
  <si>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</si>
  <si>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</si>
  <si>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</si>
  <si>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</si>
  <si>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</si>
  <si>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</si>
  <si>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</si>
  <si>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</si>
  <si>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</si>
  <si>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</si>
  <si>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</si>
  <si>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</si>
  <si>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</si>
  <si>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</si>
  <si>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</si>
  <si>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</si>
  <si>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</si>
  <si>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</si>
  <si>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</si>
  <si>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</si>
  <si>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</si>
  <si>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</si>
  <si>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</si>
  <si>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</si>
  <si>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</si>
  <si>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</si>
  <si>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</si>
  <si>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</si>
  <si>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</si>
  <si>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</si>
  <si>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</si>
  <si>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</si>
  <si>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</si>
  <si>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</si>
  <si>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</si>
  <si>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</si>
  <si>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</si>
  <si>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</si>
  <si>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</si>
  <si>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</si>
  <si>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</si>
  <si>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</si>
  <si>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</si>
  <si>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</si>
  <si>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</si>
  <si>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</si>
  <si>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</si>
  <si>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</si>
  <si>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</si>
  <si>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</si>
  <si>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</si>
  <si>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</si>
  <si>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</si>
  <si>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</si>
  <si>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</si>
  <si>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</si>
  <si>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</si>
  <si>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</si>
  <si>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</si>
  <si>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</si>
  <si>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</si>
  <si>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</si>
  <si>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</si>
  <si>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</si>
  <si>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</si>
  <si>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</si>
  <si>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</si>
  <si>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</si>
  <si>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</si>
  <si>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</si>
  <si>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</si>
  <si>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</si>
  <si>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</si>
  <si>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</si>
  <si>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</si>
  <si>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</si>
  <si>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</si>
  <si>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</si>
  <si>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</si>
  <si>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</si>
  <si>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</si>
  <si>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</si>
  <si>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</si>
  <si>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</si>
  <si>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</si>
  <si>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</si>
  <si>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</si>
  <si>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</si>
  <si>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</si>
  <si>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</si>
  <si>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</si>
  <si>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</si>
  <si>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</si>
  <si>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</si>
  <si>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</si>
  <si>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</si>
  <si>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</si>
  <si>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</si>
  <si>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</si>
  <si>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</si>
  <si>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</si>
  <si>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</si>
  <si>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</si>
  <si>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</si>
  <si>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</si>
  <si>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</si>
  <si>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</si>
  <si>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</si>
  <si>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</si>
  <si>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</si>
  <si>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</si>
  <si>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</si>
  <si>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</si>
  <si>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</si>
  <si>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</si>
  <si>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</si>
  <si>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</si>
  <si>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</si>
  <si>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</si>
  <si>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</si>
  <si>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</si>
  <si>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</si>
  <si>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</si>
  <si>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</si>
  <si>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</si>
  <si>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</si>
  <si>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</si>
  <si>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</si>
  <si>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</si>
  <si>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</si>
  <si>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</si>
  <si>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</si>
  <si>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</si>
  <si>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</si>
  <si>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</si>
  <si>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</si>
  <si>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</si>
  <si>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</si>
  <si>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</si>
  <si>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</si>
  <si>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</si>
  <si>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</si>
  <si>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</si>
  <si>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</si>
  <si>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</si>
  <si>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</si>
  <si>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</si>
  <si>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</si>
  <si>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</si>
  <si>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</si>
  <si>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</si>
  <si>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</si>
  <si>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</si>
  <si>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</si>
  <si>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</si>
  <si>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</si>
  <si>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</si>
  <si>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</si>
  <si>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</si>
  <si>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</si>
  <si>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</si>
  <si>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</si>
  <si>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</si>
  <si>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</si>
  <si>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</si>
  <si>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</si>
  <si>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</si>
  <si>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</si>
  <si>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</si>
  <si>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</si>
  <si>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</si>
  <si>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</si>
  <si>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</si>
  <si>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</si>
  <si>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</si>
  <si>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</si>
  <si>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</si>
  <si>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</si>
  <si>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</si>
  <si>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</si>
  <si>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</si>
  <si>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</si>
  <si>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</si>
  <si>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</si>
  <si>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</si>
  <si>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</si>
  <si>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</si>
  <si>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</si>
  <si>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</si>
  <si>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</si>
  <si>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</si>
  <si>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</si>
  <si>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</si>
  <si>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</si>
  <si>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</si>
  <si>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</si>
  <si>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</si>
  <si>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</si>
  <si>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</si>
  <si>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</si>
  <si>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</si>
  <si>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</si>
  <si>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</si>
  <si>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</si>
  <si>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</si>
  <si>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</si>
  <si>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</si>
  <si>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</si>
  <si>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</si>
  <si>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</si>
  <si>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</si>
  <si>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</si>
  <si>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</si>
  <si>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</si>
  <si>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</si>
  <si>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</si>
  <si>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</si>
  <si>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</si>
  <si>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</si>
  <si>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</si>
  <si>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</si>
  <si>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</si>
  <si>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</si>
  <si>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</si>
  <si>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</si>
  <si>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</si>
  <si>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</si>
  <si>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</si>
  <si>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</si>
  <si>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</si>
  <si>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</si>
  <si>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</si>
  <si>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</si>
  <si>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</si>
  <si>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</si>
  <si>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</si>
  <si>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</si>
  <si>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</si>
  <si>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</si>
  <si>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</si>
  <si>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</si>
  <si>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</si>
  <si>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</si>
  <si>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</si>
  <si>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</si>
  <si>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</si>
  <si>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</si>
  <si>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</si>
  <si>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</si>
  <si>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</si>
  <si>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</si>
  <si>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</si>
  <si>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</si>
  <si>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</si>
  <si>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</si>
  <si>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</si>
  <si>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</si>
  <si>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</si>
  <si>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</si>
  <si>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</si>
  <si>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</si>
  <si>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</si>
  <si>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</si>
  <si>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</si>
  <si>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</si>
  <si>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</si>
  <si>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</si>
  <si>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</si>
  <si>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</si>
  <si>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</si>
  <si>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</si>
  <si>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</si>
  <si>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</si>
  <si>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</si>
  <si>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</si>
  <si>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</si>
  <si>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</si>
  <si>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</si>
  <si>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</si>
  <si>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</si>
  <si>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</si>
  <si>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</si>
  <si>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</si>
  <si>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</si>
  <si>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</si>
  <si>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</si>
  <si>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</si>
  <si>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</si>
  <si>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</si>
  <si>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</si>
  <si>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</si>
  <si>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</si>
  <si>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</si>
  <si>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</si>
  <si>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</si>
  <si>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</si>
  <si>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</si>
  <si>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</si>
  <si>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</si>
  <si>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</si>
  <si>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</si>
  <si>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</si>
  <si>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</si>
  <si>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</si>
  <si>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</si>
  <si>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</si>
  <si>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</si>
  <si>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</si>
  <si>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</si>
  <si>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</si>
  <si>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</si>
  <si>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</si>
  <si>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</si>
  <si>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</si>
  <si>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</si>
  <si>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</si>
  <si>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</si>
  <si>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</si>
  <si>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</si>
  <si>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</si>
  <si>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</si>
  <si>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</si>
  <si>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</si>
  <si>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</si>
  <si>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</si>
  <si>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</si>
  <si>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</si>
  <si>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</si>
  <si>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</si>
  <si>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</si>
  <si>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</si>
  <si>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</si>
  <si>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</si>
  <si>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</si>
  <si>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</si>
  <si>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</si>
  <si>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</si>
  <si>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</si>
  <si>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</si>
  <si>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</si>
  <si>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</si>
  <si>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</si>
  <si>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</si>
  <si>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</si>
  <si>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</si>
  <si>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</si>
  <si>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</si>
  <si>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</si>
  <si>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</si>
  <si>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</si>
  <si>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</si>
  <si>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</si>
  <si>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</si>
  <si>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</si>
  <si>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</si>
  <si>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</si>
  <si>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</si>
  <si>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</si>
  <si>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</si>
  <si>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</si>
  <si>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</si>
  <si>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</si>
  <si>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</si>
  <si>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</si>
  <si>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</si>
  <si>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</si>
  <si>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</si>
  <si>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</si>
  <si>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</si>
  <si>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</si>
  <si>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</si>
  <si>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</si>
  <si>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</si>
  <si>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</si>
  <si>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</si>
  <si>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</si>
  <si>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</si>
  <si>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</si>
  <si>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</si>
  <si>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</si>
  <si>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</si>
  <si>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</si>
  <si>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</si>
  <si>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</si>
  <si>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</si>
  <si>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</si>
  <si>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</si>
  <si>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</si>
  <si>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</si>
  <si>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</si>
  <si>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</si>
  <si>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</si>
  <si>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</si>
  <si>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</si>
  <si>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</si>
  <si>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</si>
  <si>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</si>
  <si>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</si>
  <si>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</si>
  <si>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</si>
  <si>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</si>
  <si>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</si>
  <si>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</si>
  <si>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</si>
  <si>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</si>
  <si>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</si>
  <si>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</si>
  <si>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</si>
  <si>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</si>
  <si>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</si>
  <si>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</si>
  <si>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</si>
  <si>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</si>
  <si>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</si>
  <si>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</si>
  <si>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</si>
  <si>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</si>
  <si>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</si>
  <si>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</si>
  <si>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</si>
  <si>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</si>
  <si>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</si>
  <si>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</si>
  <si>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</si>
  <si>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</si>
  <si>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</si>
  <si>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</si>
  <si>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</si>
  <si>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</si>
  <si>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</si>
  <si>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</si>
  <si>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</si>
  <si>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</si>
  <si>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</si>
  <si>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</si>
  <si>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</si>
  <si>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</si>
  <si>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</si>
  <si>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</si>
  <si>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</si>
  <si>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</si>
  <si>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</si>
  <si>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</si>
  <si>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</si>
  <si>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</si>
  <si>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</si>
  <si>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</si>
  <si>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</si>
  <si>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</si>
  <si>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</si>
  <si>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</si>
  <si>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</si>
  <si>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</si>
  <si>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</si>
  <si>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</si>
  <si>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</si>
  <si>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</si>
  <si>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</si>
  <si>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</si>
  <si>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</si>
  <si>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</si>
  <si>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</si>
  <si>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</si>
  <si>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</si>
  <si>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</si>
  <si>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</si>
  <si>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</si>
  <si>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</si>
  <si>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</si>
  <si>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</si>
  <si>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</si>
  <si>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</si>
  <si>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</si>
  <si>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</si>
  <si>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</si>
  <si>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</si>
  <si>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</si>
  <si>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</si>
  <si>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</si>
  <si>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</si>
  <si>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</si>
  <si>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</si>
  <si>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</si>
  <si>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</si>
  <si>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</si>
  <si>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</si>
  <si>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</si>
  <si>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</si>
  <si>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</si>
  <si>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</si>
  <si>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</si>
  <si>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</si>
  <si>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</si>
  <si>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</si>
  <si>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</si>
  <si>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</si>
  <si>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</si>
  <si>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</si>
  <si>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</si>
  <si>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</si>
  <si>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</si>
  <si>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</si>
  <si>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</si>
  <si>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</si>
  <si>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</si>
  <si>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</si>
  <si>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</si>
  <si>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</si>
  <si>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</si>
  <si>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</si>
  <si>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</si>
  <si>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</si>
  <si>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</si>
  <si>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</si>
  <si>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</si>
  <si>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</si>
  <si>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</si>
  <si>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</si>
  <si>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</si>
  <si>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</si>
  <si>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</si>
  <si>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</si>
  <si>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</si>
  <si>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</si>
  <si>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</si>
  <si>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</si>
  <si>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</si>
  <si>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</si>
  <si>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</si>
  <si>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</si>
  <si>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</si>
  <si>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</si>
  <si>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</si>
  <si>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</si>
  <si>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</si>
  <si>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</si>
  <si>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</si>
  <si>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</si>
  <si>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</si>
  <si>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</si>
  <si>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</si>
  <si>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</si>
  <si>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</si>
  <si>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</si>
  <si>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</si>
  <si>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</si>
  <si>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</si>
  <si>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</si>
  <si>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</si>
  <si>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</si>
  <si>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</si>
  <si>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</si>
  <si>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</si>
  <si>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</si>
  <si>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</si>
  <si>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</si>
  <si>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</si>
  <si>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</si>
  <si>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</si>
  <si>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</si>
  <si>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</si>
  <si>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</si>
  <si>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</si>
  <si>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</si>
  <si>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</si>
  <si>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</si>
  <si>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</si>
  <si>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</si>
  <si>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</si>
  <si>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</si>
  <si>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</si>
  <si>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</si>
  <si>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</si>
  <si>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</si>
  <si>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</si>
  <si>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</si>
  <si>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</si>
  <si>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</si>
  <si>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</si>
  <si>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</si>
  <si>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</si>
  <si>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</si>
  <si>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</si>
  <si>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</si>
  <si>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</si>
  <si>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</si>
  <si>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</si>
  <si>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</si>
  <si>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</si>
  <si>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</si>
  <si>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</si>
  <si>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</si>
  <si>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</si>
  <si>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</si>
  <si>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</si>
  <si>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</si>
  <si>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</si>
  <si>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</si>
  <si>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</si>
  <si>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</si>
  <si>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</si>
  <si>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</si>
  <si>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</si>
  <si>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</si>
  <si>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</si>
  <si>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</si>
  <si>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</si>
  <si>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</si>
  <si>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</si>
  <si>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</si>
  <si>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</si>
  <si>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</si>
  <si>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</si>
  <si>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</si>
  <si>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</si>
  <si>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</si>
  <si>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</si>
  <si>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</si>
  <si>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</si>
  <si>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</si>
  <si>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</si>
  <si>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</si>
  <si>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</si>
  <si>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</si>
  <si>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</si>
  <si>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</si>
  <si>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</si>
  <si>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</si>
  <si>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</si>
  <si>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</si>
  <si>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</si>
  <si>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</si>
  <si>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</si>
  <si>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</si>
  <si>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</si>
  <si>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</si>
  <si>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</si>
  <si>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</si>
  <si>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</si>
  <si>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</si>
  <si>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</si>
  <si>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</si>
  <si>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</si>
  <si>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</si>
  <si>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</si>
  <si>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</si>
  <si>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</si>
  <si>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</si>
  <si>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</si>
  <si>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</si>
  <si>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</si>
  <si>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</si>
  <si>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</si>
  <si>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</si>
  <si>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</si>
  <si>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</si>
  <si>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</si>
  <si>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</si>
  <si>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</si>
  <si>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</si>
  <si>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</si>
  <si>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</si>
  <si>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</si>
  <si>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</si>
  <si>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</si>
  <si>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</si>
  <si>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</si>
  <si>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</si>
  <si>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</si>
  <si>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</si>
  <si>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</si>
  <si>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</si>
  <si>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</si>
  <si>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</si>
  <si>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</si>
  <si>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</si>
  <si>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</si>
  <si>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</si>
  <si>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</si>
  <si>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</si>
  <si>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</si>
  <si>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</si>
  <si>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</si>
  <si>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</si>
  <si>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</si>
  <si>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</si>
  <si>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</si>
  <si>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</si>
  <si>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</si>
  <si>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</si>
  <si>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</si>
  <si>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</si>
  <si>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</si>
  <si>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</si>
  <si>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</si>
  <si>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</si>
  <si>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</si>
  <si>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</si>
  <si>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</si>
  <si>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</si>
  <si>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</si>
  <si>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</si>
  <si>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</si>
  <si>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</si>
  <si>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</si>
  <si>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</si>
  <si>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</si>
  <si>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</si>
  <si>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</si>
  <si>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</si>
  <si>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</si>
  <si>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</si>
  <si>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</si>
  <si>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</si>
  <si>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</si>
  <si>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</si>
  <si>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</si>
  <si>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</si>
  <si>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</si>
  <si>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</si>
  <si>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</si>
  <si>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</si>
  <si>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</si>
  <si>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</si>
  <si>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</si>
  <si>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</si>
  <si>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</si>
  <si>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</si>
  <si>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</si>
  <si>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</si>
  <si>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</si>
  <si>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</si>
  <si>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</si>
  <si>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</si>
  <si>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</si>
  <si>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</si>
  <si>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</si>
  <si>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</si>
  <si>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</si>
  <si>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</si>
  <si>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</si>
  <si>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</si>
  <si>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</si>
  <si>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</si>
  <si>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</si>
  <si>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</si>
  <si>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</si>
  <si>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</si>
  <si>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</si>
  <si>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</si>
  <si>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</si>
  <si>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</si>
  <si>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</si>
  <si>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</si>
  <si>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</si>
  <si>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</si>
  <si>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</si>
  <si>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</si>
  <si>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</si>
  <si>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</si>
  <si>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</si>
  <si>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</si>
  <si>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</si>
  <si>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</si>
  <si>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</si>
  <si>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</si>
  <si>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</si>
  <si>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</si>
  <si>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</si>
  <si>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</si>
  <si>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</si>
  <si>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</si>
  <si>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</si>
  <si>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</si>
  <si>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</si>
  <si>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</si>
  <si>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</si>
  <si>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</si>
  <si>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</si>
  <si>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</si>
  <si>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</si>
  <si>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</si>
  <si>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</si>
  <si>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</si>
  <si>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</si>
  <si>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</si>
  <si>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</si>
  <si>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</si>
  <si>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</si>
  <si>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</si>
  <si>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</si>
  <si>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</si>
  <si>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</si>
  <si>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</si>
  <si>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</si>
  <si>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</si>
  <si>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</si>
  <si>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</si>
  <si>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</si>
  <si>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</si>
  <si>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</si>
  <si>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</si>
  <si>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</si>
  <si>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</si>
  <si>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</si>
  <si>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</si>
  <si>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</si>
  <si>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</si>
  <si>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</si>
  <si>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</si>
  <si>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</si>
  <si>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</si>
  <si>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</si>
  <si>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</si>
  <si>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</si>
  <si>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</si>
  <si>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</si>
  <si>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</si>
  <si>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</si>
  <si>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</si>
  <si>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</si>
  <si>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</si>
  <si>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</si>
  <si>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</si>
  <si>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</si>
  <si>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</si>
  <si>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</si>
  <si>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</si>
  <si>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</si>
  <si>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</si>
  <si>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</si>
  <si>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</si>
  <si>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</si>
  <si>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</si>
  <si>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</si>
  <si>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</si>
  <si>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</si>
  <si>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</si>
  <si>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</si>
  <si>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</si>
  <si>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</si>
  <si>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</si>
  <si>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</si>
  <si>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</si>
  <si>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</si>
  <si>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</si>
  <si>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</si>
  <si>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</si>
  <si>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</si>
  <si>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</si>
  <si>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</si>
  <si>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</si>
  <si>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</si>
  <si>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</si>
  <si>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</si>
  <si>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</si>
  <si>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</si>
  <si>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</si>
  <si>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</si>
  <si>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</si>
  <si>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</si>
  <si>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</si>
  <si>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</si>
  <si>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</si>
  <si>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</si>
  <si>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</si>
  <si>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</si>
  <si>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</si>
  <si>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</si>
  <si>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</si>
  <si>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</si>
  <si>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</si>
  <si>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</si>
  <si>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</si>
  <si>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</si>
  <si>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</si>
  <si>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</si>
  <si>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</si>
  <si>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</si>
  <si>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</si>
  <si>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</si>
  <si>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</si>
  <si>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</si>
  <si>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</si>
  <si>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</si>
  <si>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</si>
  <si>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</si>
  <si>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</si>
  <si>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</si>
  <si>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</si>
  <si>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</si>
  <si>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</si>
  <si>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</si>
  <si>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</si>
  <si>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</si>
  <si>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</si>
  <si>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</si>
  <si>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</si>
  <si>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</si>
  <si>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</si>
  <si>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</si>
  <si>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</si>
  <si>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</si>
  <si>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</si>
  <si>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</si>
  <si>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</si>
  <si>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</si>
  <si>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</si>
  <si>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</si>
  <si>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</si>
  <si>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</si>
  <si>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</si>
  <si>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</si>
  <si>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</si>
  <si>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</si>
  <si>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</si>
  <si>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</si>
  <si>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</si>
  <si>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</si>
  <si>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</si>
  <si>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</si>
  <si>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</si>
  <si>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</si>
  <si>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</si>
  <si>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</si>
  <si>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</si>
  <si>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</si>
  <si>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</si>
  <si>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</si>
  <si>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</si>
  <si>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</si>
  <si>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</si>
  <si>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</si>
  <si>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</si>
  <si>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</si>
  <si>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</si>
  <si>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</si>
  <si>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</si>
  <si>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</si>
  <si>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</si>
  <si>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</si>
  <si>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</si>
  <si>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</si>
  <si>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</si>
  <si>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</si>
  <si>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</si>
  <si>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</si>
  <si>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</si>
  <si>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</si>
  <si>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</si>
  <si>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</si>
  <si>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</si>
  <si>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</si>
  <si>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</si>
  <si>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</si>
  <si>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</si>
  <si>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</si>
  <si>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</si>
  <si>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</si>
  <si>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</si>
  <si>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</si>
  <si>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</si>
  <si>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</si>
  <si>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</si>
  <si>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</si>
  <si>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</si>
  <si>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</si>
  <si>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</si>
  <si>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</si>
  <si>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</si>
  <si>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</si>
  <si>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</si>
  <si>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</si>
  <si>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</si>
  <si>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</si>
  <si>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</si>
  <si>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</si>
  <si>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</si>
  <si>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</si>
  <si>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</si>
  <si>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</si>
  <si>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</si>
  <si>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</si>
  <si>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</si>
  <si>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</si>
  <si>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</si>
  <si>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</si>
  <si>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</si>
  <si>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</si>
  <si>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</si>
  <si>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</si>
  <si>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</si>
  <si>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</si>
  <si>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</si>
  <si>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</si>
  <si>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</si>
  <si>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</si>
  <si>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</si>
  <si>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</si>
  <si>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</si>
  <si>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</si>
  <si>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</si>
  <si>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</si>
  <si>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</si>
  <si>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</si>
  <si>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</si>
  <si>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</si>
  <si>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</si>
  <si>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</si>
  <si>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</si>
  <si>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</si>
  <si>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</si>
  <si>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</si>
  <si>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</si>
  <si>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</si>
  <si>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</si>
  <si>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</si>
  <si>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</si>
  <si>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</si>
  <si>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</si>
  <si>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</si>
  <si>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</si>
  <si>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</si>
  <si>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</si>
  <si>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</si>
  <si>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</si>
  <si>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</si>
  <si>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</si>
  <si>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</si>
  <si>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</si>
  <si>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</si>
  <si>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</si>
  <si>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</si>
  <si>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</si>
  <si>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</si>
  <si>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</si>
  <si>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</si>
  <si>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</si>
  <si>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</si>
  <si>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</si>
  <si>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</si>
  <si>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</si>
  <si>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</si>
  <si>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</si>
  <si>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</si>
  <si>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</si>
  <si>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</si>
  <si>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</si>
  <si>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</si>
  <si>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</si>
  <si>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</si>
  <si>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</si>
  <si>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</si>
  <si>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</si>
  <si>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</si>
  <si>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</si>
  <si>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</si>
  <si>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</si>
  <si>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</si>
  <si>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</si>
  <si>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</si>
  <si>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</si>
  <si>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</si>
  <si>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</si>
  <si>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</si>
  <si>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</si>
  <si>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</si>
  <si>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</si>
  <si>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</si>
  <si>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</si>
  <si>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</si>
  <si>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</si>
  <si>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</si>
  <si>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</si>
  <si>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</si>
  <si>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</si>
  <si>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</si>
  <si>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</si>
  <si>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</si>
  <si>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</si>
  <si>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</si>
  <si>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</si>
  <si>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</si>
  <si>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</si>
  <si>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</si>
  <si>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</si>
  <si>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</si>
  <si>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</si>
  <si>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</si>
  <si>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</si>
  <si>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</si>
  <si>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</si>
  <si>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</si>
  <si>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</si>
  <si>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</si>
  <si>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</si>
  <si>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</si>
  <si>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</si>
  <si>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</si>
  <si>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</si>
  <si>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</si>
  <si>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</si>
  <si>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</si>
  <si>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</si>
  <si>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</si>
  <si>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</si>
  <si>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</si>
  <si>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</si>
  <si>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</si>
  <si>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</si>
  <si>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</si>
  <si>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</si>
  <si>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</si>
  <si>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</si>
  <si>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</si>
  <si>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</si>
  <si>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</si>
  <si>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</si>
  <si>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</si>
  <si>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</si>
  <si>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</si>
  <si>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</si>
  <si>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</si>
  <si>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</si>
  <si>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</si>
  <si>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</si>
  <si>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</si>
  <si>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</si>
  <si>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</si>
  <si>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</si>
  <si>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</si>
  <si>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</si>
  <si>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</si>
  <si>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</si>
  <si>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</si>
  <si>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</si>
  <si>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</si>
  <si>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</si>
  <si>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</si>
  <si>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</si>
  <si>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</si>
  <si>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</si>
  <si>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</si>
  <si>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</si>
  <si>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</si>
  <si>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</si>
  <si>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</si>
  <si>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</si>
  <si>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</si>
  <si>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</si>
  <si>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</si>
  <si>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</si>
  <si>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</si>
  <si>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</si>
  <si>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</si>
  <si>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</si>
  <si>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</si>
  <si>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</si>
  <si>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</si>
  <si>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</si>
  <si>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</si>
  <si>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</si>
  <si>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</si>
  <si>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</si>
  <si>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</si>
  <si>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</si>
  <si>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</si>
  <si>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</si>
  <si>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</si>
  <si>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</si>
  <si>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</si>
  <si>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</si>
  <si>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</si>
  <si>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</si>
  <si>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</si>
  <si>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</si>
  <si>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</si>
  <si>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</si>
  <si>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</si>
  <si>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</si>
  <si>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</si>
  <si>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</si>
  <si>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</si>
  <si>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</si>
  <si>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</si>
  <si>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</si>
  <si>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</si>
  <si>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</si>
  <si>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</si>
  <si>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</si>
  <si>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</si>
  <si>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</si>
  <si>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</si>
  <si>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</si>
  <si>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</si>
  <si>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</si>
  <si>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</si>
  <si>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</si>
  <si>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</si>
  <si>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</si>
  <si>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</si>
  <si>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</si>
  <si>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</si>
  <si>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</si>
  <si>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</si>
  <si>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</si>
  <si>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</si>
  <si>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</si>
  <si>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</si>
  <si>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</si>
  <si>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</si>
  <si>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</si>
  <si>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</si>
  <si>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</si>
  <si>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</si>
  <si>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</si>
  <si>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</si>
  <si>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</si>
  <si>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</si>
  <si>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</si>
  <si>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</si>
  <si>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</si>
  <si>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</si>
  <si>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</si>
  <si>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</si>
  <si>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</si>
  <si>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</si>
  <si>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</si>
  <si>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</si>
  <si>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</si>
  <si>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</si>
  <si>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</si>
  <si>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</si>
  <si>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</si>
  <si>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</si>
  <si>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</si>
  <si>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</si>
  <si>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</si>
  <si>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</si>
  <si>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</si>
  <si>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</si>
  <si>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</si>
  <si>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</si>
  <si>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</si>
  <si>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</si>
  <si>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</si>
  <si>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</si>
  <si>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</si>
  <si>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</si>
  <si>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</si>
  <si>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</si>
  <si>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</si>
  <si>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</si>
  <si>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</si>
  <si>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</si>
  <si>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</si>
  <si>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</si>
  <si>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</si>
  <si>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</si>
  <si>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</si>
  <si>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</si>
  <si>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</si>
  <si>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</si>
  <si>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</si>
  <si>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</si>
  <si>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</si>
  <si>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</si>
  <si>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</si>
  <si>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</si>
  <si>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</si>
  <si>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</si>
  <si>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</si>
  <si>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</si>
  <si>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</si>
  <si>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</si>
  <si>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</si>
  <si>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</si>
  <si>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</si>
  <si>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</si>
  <si>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</si>
  <si>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</si>
  <si>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</si>
  <si>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</si>
  <si>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</si>
  <si>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</si>
  <si>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</si>
  <si>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</si>
  <si>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</si>
  <si>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</si>
  <si>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</si>
  <si>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</si>
  <si>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</si>
  <si>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</si>
  <si>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</si>
  <si>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</si>
  <si>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</si>
  <si>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</si>
  <si>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</si>
  <si>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</si>
  <si>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</si>
  <si>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</si>
  <si>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</si>
  <si>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</si>
  <si>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</si>
  <si>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</si>
  <si>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</si>
  <si>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</si>
  <si>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</si>
  <si>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</si>
  <si>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</si>
  <si>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</si>
  <si>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</si>
  <si>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</si>
  <si>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</si>
  <si>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</si>
  <si>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</si>
  <si>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</si>
  <si>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</si>
  <si>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</si>
  <si>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</si>
  <si>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</si>
  <si>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</si>
  <si>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</si>
  <si>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</si>
  <si>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</si>
  <si>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</si>
  <si>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</si>
  <si>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</si>
  <si>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</si>
  <si>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</si>
  <si>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</si>
  <si>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</si>
  <si>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</si>
  <si>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</si>
  <si>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</si>
  <si>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</si>
  <si>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</si>
  <si>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</si>
  <si>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</si>
  <si>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</si>
  <si>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</si>
  <si>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</si>
  <si>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</si>
  <si>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</si>
  <si>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</si>
  <si>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</si>
  <si>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</si>
  <si>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</si>
  <si>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</si>
  <si>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</si>
  <si>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</si>
  <si>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</si>
  <si>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</si>
  <si>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</si>
  <si>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</si>
  <si>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</si>
  <si>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</si>
  <si>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</si>
  <si>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</si>
  <si>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</si>
  <si>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</si>
  <si>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</si>
  <si>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</si>
  <si>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</si>
  <si>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</si>
  <si>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</si>
  <si>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</si>
  <si>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</si>
  <si>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</si>
  <si>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</si>
  <si>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</si>
  <si>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</si>
  <si>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</si>
  <si>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</si>
  <si>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</si>
  <si>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</si>
  <si>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</si>
  <si>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</si>
  <si>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</si>
  <si>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</si>
  <si>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</si>
  <si>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</si>
  <si>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</si>
  <si>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</si>
  <si>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</si>
  <si>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</si>
  <si>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</si>
  <si>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</si>
  <si>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</si>
  <si>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</si>
  <si>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</si>
  <si>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</si>
  <si>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</si>
  <si>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</si>
  <si>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</si>
  <si>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</si>
  <si>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</si>
  <si>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</si>
  <si>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</si>
  <si>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</si>
  <si>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</si>
  <si>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</si>
  <si>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</si>
  <si>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</si>
  <si>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</si>
  <si>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</si>
  <si>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</si>
  <si>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</si>
  <si>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</si>
  <si>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</si>
  <si>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</si>
  <si>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</si>
  <si>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</si>
  <si>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</si>
  <si>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</si>
  <si>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</si>
  <si>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</si>
  <si>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</si>
  <si>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</si>
  <si>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</si>
  <si>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</si>
  <si>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</si>
  <si>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</si>
  <si>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</si>
  <si>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</si>
  <si>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</si>
  <si>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</si>
  <si>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</si>
  <si>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</si>
  <si>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</si>
  <si>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</si>
  <si>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</si>
  <si>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</si>
  <si>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</si>
  <si>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</si>
  <si>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</si>
  <si>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</si>
  <si>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</si>
  <si>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</si>
  <si>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</si>
  <si>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</si>
  <si>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</si>
  <si>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</si>
  <si>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</si>
  <si>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</si>
  <si>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</si>
  <si>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</si>
  <si>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</si>
  <si>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</si>
  <si>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</si>
  <si>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</si>
  <si>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</si>
  <si>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</si>
  <si>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</si>
  <si>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</si>
  <si>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</si>
  <si>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</si>
  <si>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</si>
  <si>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</si>
  <si>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</si>
  <si>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</si>
  <si>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</si>
  <si>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</si>
  <si>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</si>
  <si>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</si>
  <si>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</si>
  <si>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</si>
  <si>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</si>
  <si>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</si>
  <si>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</si>
  <si>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</si>
  <si>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</si>
  <si>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</si>
  <si>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</si>
  <si>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</si>
  <si>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</si>
  <si>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</si>
  <si>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</si>
  <si>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</si>
  <si>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</si>
  <si>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</si>
  <si>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</si>
  <si>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</si>
  <si>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</si>
  <si>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</si>
  <si>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</si>
  <si>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</si>
  <si>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</si>
  <si>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</si>
  <si>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</si>
  <si>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</si>
  <si>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</si>
  <si>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</si>
  <si>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</si>
  <si>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</si>
  <si>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</si>
  <si>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</si>
  <si>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</si>
  <si>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</si>
  <si>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</si>
  <si>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</si>
  <si>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</si>
  <si>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</si>
  <si>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</si>
  <si>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</si>
  <si>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</si>
  <si>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</si>
  <si>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</si>
  <si>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</si>
  <si>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</si>
  <si>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</si>
  <si>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</si>
  <si>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</si>
  <si>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</si>
  <si>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</si>
  <si>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</si>
  <si>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</si>
  <si>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</si>
  <si>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</si>
  <si>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</si>
  <si>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</si>
  <si>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</si>
  <si>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</si>
  <si>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</si>
  <si>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</si>
  <si>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</si>
  <si>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</si>
  <si>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</si>
  <si>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</si>
  <si>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</si>
  <si>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</si>
  <si>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</si>
  <si>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</si>
  <si>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</si>
  <si>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</si>
  <si>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</si>
  <si>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</si>
  <si>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</si>
  <si>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</si>
  <si>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</si>
  <si>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</si>
  <si>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</si>
  <si>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</si>
  <si>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</si>
  <si>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</si>
  <si>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</si>
  <si>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</si>
  <si>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</si>
  <si>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</si>
  <si>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</si>
  <si>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</si>
  <si>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</si>
  <si>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</si>
  <si>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</si>
  <si>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</si>
  <si>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</si>
  <si>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</si>
  <si>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</si>
  <si>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</si>
  <si>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</si>
  <si>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</si>
  <si>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</si>
  <si>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</si>
  <si>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</si>
  <si>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</si>
  <si>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</si>
  <si>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</si>
  <si>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</si>
  <si>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</si>
  <si>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</si>
  <si>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</si>
  <si>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</si>
  <si>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</si>
  <si>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</si>
  <si>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</si>
  <si>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</si>
  <si>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</si>
  <si>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</si>
  <si>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</si>
  <si>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</si>
  <si>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</si>
  <si>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</si>
  <si>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</si>
  <si>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</si>
  <si>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</si>
  <si>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</si>
  <si>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</si>
  <si>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</si>
  <si>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</si>
  <si>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</si>
  <si>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</si>
  <si>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</si>
  <si>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</si>
  <si>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</si>
  <si>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</si>
  <si>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</si>
  <si>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</si>
  <si>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</si>
  <si>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</si>
  <si>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</si>
  <si>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</si>
  <si>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</si>
  <si>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</si>
  <si>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</si>
  <si>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</si>
  <si>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</si>
  <si>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</si>
  <si>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</si>
  <si>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</si>
  <si>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</si>
  <si>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</si>
  <si>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</si>
  <si>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</si>
  <si>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</si>
  <si>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</si>
  <si>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</si>
  <si>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</si>
  <si>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</si>
  <si>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</si>
  <si>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</si>
  <si>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</si>
  <si>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</si>
  <si>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</si>
  <si>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</si>
  <si>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</si>
  <si>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</si>
  <si>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</si>
  <si>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</si>
  <si>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</si>
  <si>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</si>
  <si>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</si>
  <si>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</si>
  <si>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</si>
  <si>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</si>
  <si>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</si>
  <si>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</si>
  <si>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</si>
  <si>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</si>
  <si>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</si>
  <si>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</si>
  <si>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</si>
  <si>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</si>
  <si>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</si>
  <si>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</si>
  <si>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</si>
  <si>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</si>
  <si>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</si>
  <si>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</si>
  <si>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</si>
  <si>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</si>
  <si>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</si>
  <si>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</si>
  <si>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</si>
  <si>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</si>
  <si>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</si>
  <si>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</si>
  <si>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</si>
  <si>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</si>
  <si>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</si>
  <si>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</si>
  <si>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</si>
  <si>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</si>
  <si>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</si>
  <si>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</si>
  <si>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</si>
  <si>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</si>
  <si>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</si>
  <si>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</si>
  <si>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</si>
  <si>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</si>
  <si>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</si>
  <si>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</si>
  <si>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</si>
  <si>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</si>
  <si>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</si>
  <si>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</si>
  <si>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</si>
  <si>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</si>
  <si>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</si>
  <si>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</si>
  <si>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</si>
  <si>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</si>
  <si>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</si>
  <si>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</si>
  <si>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</si>
  <si>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</si>
  <si>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</si>
  <si>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</si>
  <si>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</si>
  <si>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</si>
  <si>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</si>
  <si>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</si>
  <si>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</si>
  <si>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</si>
  <si>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</si>
  <si>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</si>
  <si>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</si>
  <si>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</si>
  <si>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</si>
  <si>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</si>
  <si>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</si>
  <si>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</si>
  <si>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</si>
  <si>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</si>
  <si>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</si>
  <si>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</si>
  <si>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</si>
  <si>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</si>
  <si>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</si>
  <si>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</si>
  <si>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</si>
  <si>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</si>
  <si>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</si>
  <si>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</si>
  <si>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</si>
  <si>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</si>
  <si>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</si>
  <si>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</si>
  <si>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</si>
  <si>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</si>
  <si>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</si>
  <si>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</si>
  <si>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</si>
  <si>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</si>
  <si>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</si>
  <si>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</si>
  <si>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</si>
  <si>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</si>
  <si>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</si>
  <si>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</si>
  <si>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</si>
  <si>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</si>
  <si>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</si>
  <si>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</si>
  <si>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</si>
  <si>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</si>
  <si>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</si>
  <si>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</si>
  <si>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</si>
  <si>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</si>
  <si>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</si>
  <si>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</si>
  <si>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</si>
  <si>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</si>
  <si>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</si>
  <si>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</si>
  <si>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</si>
  <si>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</si>
  <si>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</si>
  <si>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</si>
  <si>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</si>
  <si>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</si>
  <si>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</si>
  <si>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</si>
  <si>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</si>
  <si>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</si>
  <si>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</si>
  <si>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</si>
  <si>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</si>
  <si>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</si>
  <si>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</si>
  <si>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</si>
  <si>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</si>
  <si>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</si>
  <si>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</si>
  <si>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</si>
  <si>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</si>
  <si>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</si>
  <si>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</si>
  <si>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</si>
  <si>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</si>
  <si>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</si>
  <si>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</si>
  <si>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</si>
  <si>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</si>
  <si>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</si>
  <si>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</si>
  <si>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</si>
  <si>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</si>
  <si>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</si>
  <si>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</si>
  <si>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</si>
  <si>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</si>
  <si>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</si>
  <si>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</si>
  <si>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</si>
  <si>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</si>
  <si>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</si>
  <si>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</si>
  <si>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</si>
  <si>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</si>
  <si>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</si>
  <si>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</si>
  <si>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</si>
  <si>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</si>
  <si>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</si>
  <si>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</si>
  <si>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</si>
  <si>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</si>
  <si>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</si>
  <si>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</si>
  <si>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</si>
  <si>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</si>
  <si>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</si>
  <si>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</si>
  <si>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</si>
  <si>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</si>
  <si>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</si>
  <si>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</si>
  <si>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</si>
  <si>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</si>
  <si>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</si>
  <si>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</si>
  <si>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</si>
  <si>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</si>
  <si>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</si>
  <si>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</si>
  <si>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</si>
  <si>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</si>
  <si>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</si>
  <si>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</si>
  <si>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</si>
  <si>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</si>
  <si>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</si>
  <si>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</si>
  <si>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</si>
  <si>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</si>
  <si>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</si>
  <si>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</si>
  <si>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</si>
  <si>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</si>
  <si>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</si>
  <si>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</si>
  <si>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</si>
  <si>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</si>
  <si>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</si>
  <si>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</si>
  <si>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</si>
  <si>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</si>
  <si>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</si>
  <si>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</si>
  <si>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</si>
  <si>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</si>
  <si>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</si>
  <si>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</si>
  <si>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</si>
  <si>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</si>
  <si>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</si>
  <si>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</si>
  <si>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</si>
  <si>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</si>
  <si>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</si>
  <si>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</si>
  <si>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</si>
  <si>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</si>
  <si>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</si>
  <si>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</si>
  <si>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</si>
  <si>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</si>
  <si>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</si>
  <si>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</si>
  <si>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</si>
  <si>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</si>
  <si>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</si>
  <si>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</si>
  <si>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</si>
  <si>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</si>
  <si>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</si>
  <si>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</si>
  <si>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</si>
  <si>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</si>
  <si>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</si>
  <si>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</si>
  <si>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</si>
  <si>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</si>
  <si>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</si>
  <si>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</si>
  <si>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</si>
  <si>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</si>
  <si>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</si>
  <si>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</si>
  <si>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</si>
  <si>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</si>
  <si>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</si>
  <si>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</si>
  <si>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</si>
  <si>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</si>
  <si>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</si>
  <si>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</si>
  <si>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</si>
  <si>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</si>
  <si>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</si>
  <si>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</si>
  <si>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</si>
  <si>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</si>
  <si>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</si>
  <si>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</si>
  <si>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</si>
  <si>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</si>
  <si>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</si>
  <si>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</si>
  <si>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</si>
  <si>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</si>
  <si>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</si>
  <si>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</si>
  <si>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</si>
  <si>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</si>
  <si>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</si>
  <si>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</si>
  <si>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</si>
  <si>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</si>
  <si>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</si>
  <si>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</si>
  <si>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</si>
  <si>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</si>
  <si>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</si>
  <si>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</si>
  <si>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</si>
  <si>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</si>
  <si>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</si>
  <si>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</si>
  <si>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</si>
  <si>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</si>
  <si>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</si>
  <si>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</si>
  <si>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</si>
  <si>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</si>
  <si>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</si>
  <si>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</si>
  <si>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</si>
  <si>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</si>
  <si>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</si>
  <si>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</si>
  <si>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</si>
  <si>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</si>
  <si>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</si>
  <si>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</si>
  <si>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</si>
  <si>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</si>
  <si>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</si>
  <si>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</si>
  <si>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</si>
  <si>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</si>
  <si>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</si>
  <si>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</si>
  <si>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</si>
  <si>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</si>
  <si>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</si>
  <si>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</si>
  <si>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</si>
  <si>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</si>
  <si>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</si>
  <si>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</si>
  <si>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</si>
  <si>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</si>
  <si>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</si>
  <si>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</si>
  <si>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</si>
  <si>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</si>
  <si>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</si>
  <si>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</si>
  <si>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</si>
  <si>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</si>
  <si>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</si>
  <si>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</si>
  <si>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</si>
  <si>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</si>
  <si>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</si>
  <si>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</si>
  <si>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</si>
  <si>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</si>
  <si>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</si>
  <si>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</si>
  <si>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</si>
  <si>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</si>
  <si>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</si>
  <si>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</si>
  <si>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</si>
  <si>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</si>
  <si>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</si>
  <si>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</si>
  <si>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</si>
  <si>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</si>
  <si>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</si>
  <si>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</si>
  <si>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</si>
  <si>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</si>
  <si>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</si>
  <si>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</si>
  <si>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</si>
  <si>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</si>
  <si>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</si>
  <si>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</si>
  <si>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</si>
  <si>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</si>
  <si>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</si>
  <si>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</si>
  <si>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</si>
  <si>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</si>
  <si>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</si>
  <si>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</si>
  <si>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</si>
  <si>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</si>
  <si>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</si>
  <si>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</si>
  <si>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</si>
  <si>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</si>
  <si>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</si>
  <si>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</si>
  <si>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</si>
  <si>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</si>
  <si>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</si>
  <si>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</si>
  <si>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</si>
  <si>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</si>
  <si>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</si>
  <si>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</si>
  <si>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</si>
  <si>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</si>
  <si>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</si>
  <si>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</si>
  <si>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</si>
  <si>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</si>
  <si>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</si>
  <si>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</si>
  <si>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</si>
  <si>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</si>
  <si>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</si>
  <si>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</si>
  <si>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</si>
  <si>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</si>
  <si>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</si>
  <si>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</si>
  <si>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</si>
  <si>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</si>
  <si>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</si>
  <si>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</si>
  <si>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</si>
  <si>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</si>
  <si>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</si>
  <si>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</si>
  <si>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</si>
  <si>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</si>
  <si>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</si>
  <si>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</si>
  <si>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</si>
  <si>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</si>
  <si>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</si>
  <si>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</si>
  <si>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</si>
  <si>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</si>
  <si>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</si>
  <si>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</si>
  <si>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</si>
  <si>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</si>
  <si>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</si>
  <si>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</si>
  <si>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</si>
  <si>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</si>
  <si>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</si>
  <si>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</si>
  <si>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</si>
  <si>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</si>
  <si>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</si>
  <si>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</si>
  <si>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</si>
  <si>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</si>
  <si>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</si>
  <si>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</si>
  <si>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</si>
  <si>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</si>
  <si>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</si>
  <si>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</si>
  <si>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</si>
  <si>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</si>
  <si>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</si>
  <si>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</si>
  <si>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</si>
  <si>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</si>
  <si>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</si>
  <si>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</si>
  <si>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</si>
  <si>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</si>
  <si>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</si>
  <si>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</si>
  <si>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</si>
  <si>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</si>
  <si>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</si>
  <si>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</si>
  <si>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</si>
  <si>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</si>
  <si>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</si>
  <si>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</si>
  <si>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</si>
  <si>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</si>
  <si>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</si>
  <si>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</si>
  <si>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</si>
  <si>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</si>
  <si>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</si>
  <si>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</si>
  <si>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</si>
  <si>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</si>
  <si>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</si>
  <si>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</si>
  <si>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</si>
  <si>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</si>
  <si>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</si>
  <si>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</si>
  <si>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</si>
  <si>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</si>
  <si>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</si>
  <si>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</si>
  <si>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</si>
  <si>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</si>
  <si>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</si>
  <si>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</si>
  <si>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</si>
  <si>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</si>
  <si>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</si>
  <si>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</si>
  <si>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</si>
  <si>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</si>
  <si>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</si>
  <si>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</si>
  <si>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</si>
  <si>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</si>
  <si>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</si>
  <si>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</si>
  <si>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</si>
  <si>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</si>
  <si>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</si>
  <si>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</si>
  <si>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</si>
  <si>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</si>
  <si>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www.westamwelltwp.org</t>
  </si>
  <si>
    <t>609-397-2054</t>
  </si>
  <si>
    <t>150 Rocktown Lambertville Rd</t>
  </si>
  <si>
    <t>08530</t>
  </si>
  <si>
    <t>Zachary</t>
  </si>
  <si>
    <t>Rich</t>
  </si>
  <si>
    <t>Lora</t>
  </si>
  <si>
    <t>Olsen</t>
  </si>
  <si>
    <t>clerk@westamwelltwp.org</t>
  </si>
  <si>
    <t>Thomas</t>
  </si>
  <si>
    <t>Carro</t>
  </si>
  <si>
    <t>cfo@westamwelltwp.org</t>
  </si>
  <si>
    <t>Anthony</t>
  </si>
  <si>
    <t>Ardito</t>
  </si>
  <si>
    <t>John</t>
  </si>
  <si>
    <t>Dale</t>
  </si>
  <si>
    <t>Steven</t>
  </si>
  <si>
    <t>Bergenfeld</t>
  </si>
  <si>
    <t>jdale@westamwelltwp.org</t>
  </si>
  <si>
    <t>sbergenfeld@westamwelltwp.org</t>
  </si>
  <si>
    <t>zrich@westamwelltwp.org</t>
  </si>
  <si>
    <t xml:space="preserve">STATE AID </t>
  </si>
  <si>
    <t>X</t>
  </si>
  <si>
    <t>CAPITAL FUND BALANCE</t>
  </si>
  <si>
    <t>OPEN SPACE TRUST FUND</t>
  </si>
  <si>
    <t>PENSION ASSESSMENTS STATE OF NJ</t>
  </si>
  <si>
    <t>HEALTH INSURANCE PREMIUMS</t>
  </si>
  <si>
    <t>RESERVE FOR SALE OF ASSETS</t>
  </si>
  <si>
    <t>FUTURE POSSIBLE REDUCTION UNCERTAIN</t>
  </si>
  <si>
    <t>LIMITED TO YEAR END BALANCE</t>
  </si>
  <si>
    <t>LIMITED BY BALANCE IN FUND/FUTURE PROJECTS/LEVY ADJUSTMENT</t>
  </si>
  <si>
    <t>DEPENDENT ON SOLVENCY OF THE PENSION FUNDS</t>
  </si>
  <si>
    <t>INCREASES LIKELY IN THE FUTURE</t>
  </si>
  <si>
    <t>LIMITED TO FUTURE SALE OF OUTDATED ASSETS</t>
  </si>
  <si>
    <t>N/A   NONE</t>
  </si>
  <si>
    <t>POLICE DEPT</t>
  </si>
  <si>
    <t>x</t>
  </si>
  <si>
    <t>A1</t>
  </si>
  <si>
    <t>CITY OF LAMBERTVILLE</t>
  </si>
  <si>
    <t>ANIMAL CONTROL</t>
  </si>
  <si>
    <t>USE OF EMPLOYEE</t>
  </si>
  <si>
    <t>EAST AMWELL TWP</t>
  </si>
  <si>
    <t>CONSTRUCTION OFFICE</t>
  </si>
  <si>
    <t>INSPECTIONS/PERMITS</t>
  </si>
  <si>
    <t>CONST FEES</t>
  </si>
  <si>
    <t>TRAFFIC CONTROL</t>
  </si>
  <si>
    <t>5 HOURS WEEK</t>
  </si>
  <si>
    <t>anthony@arditoandcompany.com</t>
  </si>
  <si>
    <t>TAX COLLECTOR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</si>
</sst>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8">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7" fontId="4" fillId="0" borderId="14" xfId="3" applyNumberFormat="1" applyFont="1" applyFill="1" applyBorder="1"/>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7" fontId="4" fillId="0" borderId="104" xfId="3" applyNumberFormat="1" applyFont="1" applyFill="1" applyBorder="1"/>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5" fmlaLink="$K$5" fmlaRange="muni!$A$1:$B$587" sel="295" val="290"/>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gov/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52"/>
  <sheetViews>
    <sheetView topLeftCell="J9" zoomScaleNormal="100" workbookViewId="0">
      <selection activeCell="L28" sqref="L28"/>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8" t="s">
        <v>2272</v>
      </c>
      <c r="K1" s="668"/>
      <c r="L1" s="668"/>
      <c r="M1" s="668"/>
      <c r="N1" s="668"/>
      <c r="O1" s="668"/>
      <c r="P1" s="668"/>
      <c r="Q1" s="668"/>
    </row>
    <row r="2" spans="1:23" ht="25.5">
      <c r="J2" s="668" t="s">
        <v>2273</v>
      </c>
      <c r="K2" s="668"/>
      <c r="L2" s="668"/>
      <c r="M2" s="668"/>
      <c r="N2" s="668"/>
      <c r="O2" s="668"/>
      <c r="P2" s="668"/>
      <c r="Q2" s="668"/>
    </row>
    <row r="3" spans="1:23" ht="20.25" customHeight="1">
      <c r="J3" s="565"/>
      <c r="K3" s="565"/>
      <c r="L3" s="565"/>
      <c r="M3" s="565"/>
      <c r="N3" s="565"/>
      <c r="O3" s="565"/>
      <c r="P3" s="565"/>
      <c r="Q3" s="565"/>
    </row>
    <row r="4" spans="1:23" ht="21.75" customHeight="1">
      <c r="A4" s="491" t="str">
        <f>INDEX(muni!A1:A587,K5,1)</f>
        <v>1026 West Amwell Township - County of Hunterdon</v>
      </c>
      <c r="B4" s="491">
        <f>ROW()</f>
        <v>4</v>
      </c>
      <c r="C4" s="491"/>
      <c r="D4" s="491">
        <f>K4</f>
        <v>2016</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Thomas Carro -Chief Financial Officer of 1026 West Amwell Township - County of Hunterdon,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-Chief Financial Officer of 4, Certify that all information included in this email is accurate.</v>
      </c>
      <c r="J4" s="566" t="s">
        <v>2271</v>
      </c>
      <c r="K4" s="562">
        <v>2016</v>
      </c>
      <c r="L4" s="567" t="s">
        <v>2274</v>
      </c>
      <c r="M4" s="568"/>
      <c r="N4" s="569"/>
      <c r="O4" s="570"/>
      <c r="P4" s="571"/>
      <c r="Q4" s="571"/>
      <c r="S4" s="432"/>
      <c r="T4" s="432"/>
      <c r="U4" s="432"/>
      <c r="V4" s="432"/>
      <c r="W4" s="432"/>
    </row>
    <row r="5" spans="1:23" ht="24" customHeight="1">
      <c r="A5" s="491" t="str">
        <f t="shared" ref="A5:A35" ca="1" si="0">MID(CELL("filename",A5),FIND("]",CELL("filename",A5))+1,256)</f>
        <v>Cover Page</v>
      </c>
      <c r="B5" s="491">
        <f>ROW()</f>
        <v>5</v>
      </c>
      <c r="C5" s="491" t="str">
        <f>K6</f>
        <v>1026</v>
      </c>
      <c r="D5" s="491">
        <f>K4</f>
        <v>2016</v>
      </c>
      <c r="E5" s="491" t="s">
        <v>2031</v>
      </c>
      <c r="F5" s="493" t="s">
        <v>2032</v>
      </c>
      <c r="G5" s="491" t="s">
        <v>2037</v>
      </c>
      <c r="H5" s="492" t="str">
        <f>"mailto:ufb.lgs@dca.nj.gov?subject="&amp;N6&amp;"&amp;body= "&amp;J18&amp;" "&amp;L18&amp;" - CFO, Certify that all information in this email is accurate.%0A%0AAttached "&amp;N6&amp;"."</f>
        <v>mailto:ufb.lgs@dca.nj.gov?subject=1026_fbi_2016.xlsm &amp;body= Thomas Carro - CFO, Certify that all information in this email is accurate.%0A%0AAttached 1026_fbi_2016.xlsm .</v>
      </c>
      <c r="I5" s="493" t="s">
        <v>2300</v>
      </c>
      <c r="J5" s="572" t="s">
        <v>293</v>
      </c>
      <c r="K5" s="676">
        <v>295</v>
      </c>
      <c r="L5" s="676"/>
      <c r="M5" s="676"/>
      <c r="N5" s="573"/>
      <c r="O5" s="565"/>
      <c r="P5" s="565"/>
      <c r="Q5" s="626">
        <v>1</v>
      </c>
      <c r="S5" s="432"/>
      <c r="T5" s="432"/>
      <c r="U5" s="432"/>
      <c r="V5" s="432"/>
      <c r="W5" s="432"/>
    </row>
    <row r="6" spans="1:23" ht="15" customHeight="1">
      <c r="A6" s="491" t="str">
        <f t="shared" ca="1" si="0"/>
        <v>Cover Page</v>
      </c>
      <c r="B6" s="491">
        <f>ROW()</f>
        <v>6</v>
      </c>
      <c r="C6" s="491" t="str">
        <f>K6</f>
        <v>1026</v>
      </c>
      <c r="D6" s="491">
        <f>K4</f>
        <v>2016</v>
      </c>
      <c r="E6" s="491" t="s">
        <v>2031</v>
      </c>
      <c r="F6" s="493" t="s">
        <v>2032</v>
      </c>
      <c r="G6" s="491" t="s">
        <v>2053</v>
      </c>
      <c r="H6" s="505">
        <f>M38</f>
        <v>0</v>
      </c>
      <c r="I6" s="553" t="str">
        <f>J18&amp;" "&amp;L18&amp;" - CFO, 
The attached UFB, File "&amp;N6&amp;", has been received by the Division Local Government Services.
Thank you for your submission."</f>
        <v>Thomas Carro - CFO, 
The attached UFB, File 1026_fbi_2016.xlsm , has been received by the Division Local Government Services.
Thank you for your submission.</v>
      </c>
      <c r="J6" s="575" t="s">
        <v>2064</v>
      </c>
      <c r="K6" s="595" t="str">
        <f>INDEX(muni!B1:B589,K5,1)</f>
        <v>1026</v>
      </c>
      <c r="L6" s="576"/>
      <c r="M6" s="573" t="s">
        <v>2039</v>
      </c>
      <c r="N6" s="576" t="str">
        <f>IF(Q5=1,K6&amp;"_fbi_"&amp;D6&amp;".xlsm ",K6&amp;"_fba_"&amp;D6&amp;".xlsm ")</f>
        <v xml:space="preserve">1026_fbi_2016.xlsm </v>
      </c>
      <c r="O6" s="576"/>
      <c r="P6" s="576"/>
      <c r="Q6" s="576"/>
      <c r="S6" s="552"/>
      <c r="T6" s="432"/>
      <c r="U6" s="432"/>
      <c r="V6" s="432"/>
      <c r="W6" s="432"/>
    </row>
    <row r="7" spans="1:23" ht="15.75" customHeight="1">
      <c r="A7" s="491" t="str">
        <f t="shared" ca="1" si="0"/>
        <v>Cover Page</v>
      </c>
      <c r="B7" s="491">
        <f>ROW()</f>
        <v>7</v>
      </c>
      <c r="C7" s="491" t="str">
        <f>K6</f>
        <v>1026</v>
      </c>
      <c r="D7" s="491">
        <f>K4</f>
        <v>2016</v>
      </c>
      <c r="E7" s="491" t="s">
        <v>2031</v>
      </c>
      <c r="F7" s="493" t="s">
        <v>2032</v>
      </c>
      <c r="G7" s="491" t="s">
        <v>2054</v>
      </c>
      <c r="H7" s="505">
        <f>M38</f>
        <v>0</v>
      </c>
      <c r="I7" s="553"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5"/>
      <c r="K7" s="577" t="s">
        <v>2245</v>
      </c>
      <c r="L7" s="677" t="s">
        <v>2304</v>
      </c>
      <c r="M7" s="678"/>
      <c r="N7" s="678"/>
      <c r="O7" s="678"/>
      <c r="P7" s="678"/>
      <c r="Q7" s="679"/>
      <c r="T7" s="432"/>
      <c r="U7" s="432"/>
      <c r="V7" s="432"/>
      <c r="W7" s="432"/>
    </row>
    <row r="8" spans="1:23" ht="15.75">
      <c r="A8" s="491" t="str">
        <f t="shared" ca="1" si="0"/>
        <v>Cover Page</v>
      </c>
      <c r="B8" s="491">
        <f>ROW()</f>
        <v>8</v>
      </c>
      <c r="C8" s="491" t="str">
        <f>K6</f>
        <v>1026</v>
      </c>
      <c r="D8" s="491">
        <f>K4</f>
        <v>2016</v>
      </c>
      <c r="E8" s="491" t="s">
        <v>2031</v>
      </c>
      <c r="F8" s="493" t="s">
        <v>2032</v>
      </c>
      <c r="G8" s="491" t="s">
        <v>2055</v>
      </c>
      <c r="H8" s="505">
        <f>M38</f>
        <v>0</v>
      </c>
      <c r="I8" s="554"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5"/>
      <c r="K8" s="577" t="s">
        <v>2246</v>
      </c>
      <c r="L8" s="578"/>
      <c r="M8" s="596" t="s">
        <v>2305</v>
      </c>
      <c r="N8" s="579"/>
      <c r="O8" s="579"/>
      <c r="P8" s="579"/>
      <c r="Q8" s="579"/>
      <c r="T8" s="432"/>
      <c r="U8" s="432"/>
      <c r="V8" s="432"/>
      <c r="W8" s="432"/>
    </row>
    <row r="9" spans="1:23" ht="15.75">
      <c r="A9" s="491" t="str">
        <f t="shared" ca="1" si="0"/>
        <v>Cover Page</v>
      </c>
      <c r="B9" s="491">
        <f>ROW()</f>
        <v>9</v>
      </c>
      <c r="C9" s="491" t="str">
        <f>K6</f>
        <v>1026</v>
      </c>
      <c r="D9" s="491">
        <f>K4</f>
        <v>2016</v>
      </c>
      <c r="E9" s="491" t="s">
        <v>2031</v>
      </c>
      <c r="F9" s="493" t="s">
        <v>2032</v>
      </c>
      <c r="G9" s="491" t="s">
        <v>2056</v>
      </c>
      <c r="H9" s="505">
        <f>M38</f>
        <v>0</v>
      </c>
      <c r="I9" s="554"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5"/>
      <c r="K9" s="577" t="s">
        <v>2063</v>
      </c>
      <c r="L9" s="578"/>
      <c r="M9" s="680" t="s">
        <v>2306</v>
      </c>
      <c r="N9" s="678"/>
      <c r="O9" s="678"/>
      <c r="P9" s="678"/>
      <c r="Q9" s="679"/>
      <c r="T9" s="432"/>
      <c r="U9" s="432"/>
      <c r="V9" s="432"/>
      <c r="W9" s="432"/>
    </row>
    <row r="10" spans="1:23" ht="18.75">
      <c r="A10" s="491" t="str">
        <f t="shared" ca="1" si="0"/>
        <v>Cover Page</v>
      </c>
      <c r="B10" s="491">
        <f>ROW()</f>
        <v>10</v>
      </c>
      <c r="C10" s="491" t="str">
        <f>K6</f>
        <v>1026</v>
      </c>
      <c r="D10" s="491">
        <f>K4</f>
        <v>2016</v>
      </c>
      <c r="E10" s="491" t="s">
        <v>2031</v>
      </c>
      <c r="F10" s="493" t="s">
        <v>2032</v>
      </c>
      <c r="G10" s="491" t="s">
        <v>2057</v>
      </c>
      <c r="H10" s="505">
        <f>M38</f>
        <v>0</v>
      </c>
      <c r="I10" s="554" t="str">
        <f>"
__           Duplicate
__           Doesn’t qualify as insertion of Special Item of Revenue
__           Additional supporting documentation needed
"</f>
        <v xml:space="preserve">
__           Duplicate
__           Doesn’t qualify as insertion of Special Item of Revenue
__           Additional supporting documentation needed
</v>
      </c>
      <c r="J10" s="565"/>
      <c r="K10" s="580"/>
      <c r="L10" s="578"/>
      <c r="M10" s="680" t="s">
        <v>1161</v>
      </c>
      <c r="N10" s="678"/>
      <c r="O10" s="678"/>
      <c r="P10" s="678"/>
      <c r="Q10" s="679"/>
      <c r="T10" s="432"/>
      <c r="U10" s="432"/>
      <c r="V10" s="432"/>
      <c r="W10" s="432"/>
    </row>
    <row r="11" spans="1:23" ht="15.75">
      <c r="A11" s="491" t="str">
        <f t="shared" ca="1" si="0"/>
        <v>Cover Page</v>
      </c>
      <c r="B11" s="491">
        <f>ROW()</f>
        <v>11</v>
      </c>
      <c r="C11" s="491" t="str">
        <f>K6</f>
        <v>1026</v>
      </c>
      <c r="D11" s="491">
        <f>K4</f>
        <v>2016</v>
      </c>
      <c r="E11" s="491" t="s">
        <v>2031</v>
      </c>
      <c r="F11" s="493" t="s">
        <v>2032</v>
      </c>
      <c r="G11" s="491" t="s">
        <v>2058</v>
      </c>
      <c r="H11" s="505">
        <f>M38</f>
        <v>0</v>
      </c>
      <c r="I11" s="554" t="str">
        <f>I6&amp;I8</f>
        <v>Thomas Carro - CFO, 
The attached UFB, File 1026_fbi_2016.xlsm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1" t="str">
        <f>HYPERLINK(H5,"Email the UFB if not using Outlook")</f>
        <v>Email the UFB if not using Outlook</v>
      </c>
      <c r="K11" s="682"/>
      <c r="L11" s="581" t="s">
        <v>2298</v>
      </c>
      <c r="M11" s="597" t="s">
        <v>1187</v>
      </c>
      <c r="N11" s="582" t="s">
        <v>2060</v>
      </c>
      <c r="O11" s="583" t="s">
        <v>2059</v>
      </c>
      <c r="P11" s="584" t="s">
        <v>2061</v>
      </c>
      <c r="Q11" s="600" t="s">
        <v>2307</v>
      </c>
      <c r="T11" s="432"/>
      <c r="U11" s="432"/>
      <c r="V11" s="432"/>
      <c r="W11" s="432"/>
    </row>
    <row r="12" spans="1:23" ht="15.75">
      <c r="A12" s="491" t="str">
        <f t="shared" ca="1" si="0"/>
        <v>Cover Page</v>
      </c>
      <c r="B12" s="491">
        <f>ROW()</f>
        <v>12</v>
      </c>
      <c r="C12" s="491" t="str">
        <f>K6</f>
        <v>1026</v>
      </c>
      <c r="D12" s="491">
        <f>K4</f>
        <v>2016</v>
      </c>
      <c r="E12" s="491" t="s">
        <v>2031</v>
      </c>
      <c r="F12" s="491" t="s">
        <v>2033</v>
      </c>
      <c r="G12" s="491" t="s">
        <v>121</v>
      </c>
      <c r="H12" s="505">
        <f>M38</f>
        <v>0</v>
      </c>
      <c r="I12" s="554" t="str">
        <f>I6&amp;I9</f>
        <v>Thomas Carro - CFO, 
The attached UFB, File 1026_fbi_2016.xlsm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4"/>
      <c r="K12" s="585" t="s">
        <v>296</v>
      </c>
      <c r="L12" s="586"/>
      <c r="M12" s="565"/>
      <c r="N12" s="586"/>
      <c r="O12" s="586"/>
      <c r="P12" s="586"/>
      <c r="Q12" s="587"/>
      <c r="T12" s="432"/>
      <c r="U12" s="432"/>
      <c r="V12" s="432"/>
      <c r="W12" s="432"/>
    </row>
    <row r="13" spans="1:23" ht="15.75">
      <c r="A13" s="491" t="str">
        <f t="shared" ca="1" si="0"/>
        <v>Cover Page</v>
      </c>
      <c r="B13" s="491">
        <f>ROW()</f>
        <v>13</v>
      </c>
      <c r="C13" s="491" t="str">
        <f>K6</f>
        <v>1026</v>
      </c>
      <c r="D13" s="491">
        <f>K4</f>
        <v>2016</v>
      </c>
      <c r="E13" s="491" t="s">
        <v>2031</v>
      </c>
      <c r="F13" s="491" t="s">
        <v>2033</v>
      </c>
      <c r="G13" s="491" t="s">
        <v>121</v>
      </c>
      <c r="H13" s="505">
        <f>M38</f>
        <v>0</v>
      </c>
      <c r="I13" s="554"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8" t="s">
        <v>2091</v>
      </c>
      <c r="K13" s="589" t="s">
        <v>2093</v>
      </c>
      <c r="L13" s="586" t="s">
        <v>2092</v>
      </c>
      <c r="M13" s="586" t="s">
        <v>297</v>
      </c>
      <c r="N13" s="586" t="s">
        <v>298</v>
      </c>
      <c r="O13" s="586"/>
      <c r="P13" s="586"/>
      <c r="Q13" s="586"/>
      <c r="T13" s="443"/>
      <c r="U13" s="432"/>
      <c r="V13" s="432"/>
      <c r="W13" s="432"/>
    </row>
    <row r="14" spans="1:23" ht="16.5" customHeight="1">
      <c r="A14" s="491" t="str">
        <f t="shared" ca="1" si="0"/>
        <v>Cover Page</v>
      </c>
      <c r="B14" s="491">
        <f>ROW()</f>
        <v>14</v>
      </c>
      <c r="C14" s="491" t="str">
        <f>K6</f>
        <v>1026</v>
      </c>
      <c r="D14" s="491">
        <f>K4</f>
        <v>2016</v>
      </c>
      <c r="E14" s="491" t="s">
        <v>2031</v>
      </c>
      <c r="F14" s="491" t="s">
        <v>2033</v>
      </c>
      <c r="G14" s="491" t="s">
        <v>2041</v>
      </c>
      <c r="H14" s="505">
        <f>M38</f>
        <v>0</v>
      </c>
      <c r="I14" s="554"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7" t="s">
        <v>2308</v>
      </c>
      <c r="K14" s="646"/>
      <c r="L14" s="667" t="s">
        <v>2309</v>
      </c>
      <c r="M14" s="609">
        <v>42735</v>
      </c>
      <c r="N14" s="672" t="s">
        <v>2324</v>
      </c>
      <c r="O14" s="673"/>
      <c r="P14" s="673"/>
      <c r="Q14" s="674"/>
      <c r="T14" s="453"/>
      <c r="U14" s="432"/>
      <c r="V14" s="432"/>
      <c r="W14" s="432"/>
    </row>
    <row r="15" spans="1:23" ht="15.75">
      <c r="A15" s="491" t="str">
        <f t="shared" ca="1" si="0"/>
        <v>Cover Page</v>
      </c>
      <c r="B15" s="491">
        <f>ROW()</f>
        <v>15</v>
      </c>
      <c r="C15" s="491" t="str">
        <f>K6</f>
        <v>1026</v>
      </c>
      <c r="D15" s="491">
        <f>K4</f>
        <v>2016</v>
      </c>
      <c r="E15" s="491" t="s">
        <v>2031</v>
      </c>
      <c r="F15" s="491" t="s">
        <v>2033</v>
      </c>
      <c r="G15" s="491" t="s">
        <v>121</v>
      </c>
      <c r="H15" s="505">
        <f>M38</f>
        <v>0</v>
      </c>
      <c r="I15" s="504">
        <v>1</v>
      </c>
      <c r="J15" s="590"/>
      <c r="K15" s="591" t="s">
        <v>2062</v>
      </c>
      <c r="L15" s="586"/>
      <c r="M15" s="611"/>
      <c r="N15" s="586"/>
      <c r="O15" s="586"/>
      <c r="P15" s="586"/>
      <c r="Q15" s="591"/>
      <c r="T15" s="432"/>
      <c r="U15" s="432"/>
      <c r="V15" s="432"/>
      <c r="W15" s="432"/>
    </row>
    <row r="16" spans="1:23" ht="16.5" customHeight="1">
      <c r="A16" s="491" t="str">
        <f t="shared" ca="1" si="0"/>
        <v>Cover Page</v>
      </c>
      <c r="B16" s="491">
        <f>ROW()</f>
        <v>16</v>
      </c>
      <c r="C16" s="491" t="str">
        <f>K6</f>
        <v>1026</v>
      </c>
      <c r="D16" s="491">
        <f>K4</f>
        <v>2016</v>
      </c>
      <c r="E16" s="491" t="s">
        <v>2031</v>
      </c>
      <c r="F16" s="491" t="s">
        <v>2033</v>
      </c>
      <c r="G16" s="491" t="s">
        <v>2034</v>
      </c>
      <c r="H16" s="505">
        <f>M38</f>
        <v>0</v>
      </c>
      <c r="I16" s="444"/>
      <c r="J16" s="647" t="s">
        <v>2310</v>
      </c>
      <c r="K16" s="667"/>
      <c r="L16" s="667" t="s">
        <v>2311</v>
      </c>
      <c r="M16" s="610"/>
      <c r="N16" s="672" t="s">
        <v>2312</v>
      </c>
      <c r="O16" s="673"/>
      <c r="P16" s="673"/>
      <c r="Q16" s="674"/>
      <c r="T16" s="453"/>
      <c r="U16" s="432"/>
      <c r="V16" s="432"/>
      <c r="W16" s="432"/>
    </row>
    <row r="17" spans="1:23" ht="15.75">
      <c r="A17" s="491" t="str">
        <f t="shared" ca="1" si="0"/>
        <v>Cover Page</v>
      </c>
      <c r="B17" s="491">
        <f>ROW()</f>
        <v>17</v>
      </c>
      <c r="C17" s="491" t="str">
        <f>K6</f>
        <v>1026</v>
      </c>
      <c r="D17" s="491">
        <f>K4</f>
        <v>2016</v>
      </c>
      <c r="E17" s="491" t="s">
        <v>2031</v>
      </c>
      <c r="F17" s="491" t="s">
        <v>2033</v>
      </c>
      <c r="G17" s="491" t="s">
        <v>121</v>
      </c>
      <c r="H17" s="505">
        <f>M38</f>
        <v>0</v>
      </c>
      <c r="I17" s="445"/>
      <c r="J17" s="590"/>
      <c r="K17" s="592" t="s">
        <v>294</v>
      </c>
      <c r="L17" s="586"/>
      <c r="M17" s="612"/>
      <c r="N17" s="586"/>
      <c r="O17" s="586"/>
      <c r="P17" s="586"/>
      <c r="Q17" s="591"/>
      <c r="T17" s="432"/>
      <c r="U17" s="432"/>
      <c r="V17" s="432"/>
      <c r="W17" s="432"/>
    </row>
    <row r="18" spans="1:23" ht="16.5" customHeight="1">
      <c r="A18" s="491" t="str">
        <f t="shared" ca="1" si="0"/>
        <v>Cover Page</v>
      </c>
      <c r="B18" s="491">
        <f>ROW()</f>
        <v>18</v>
      </c>
      <c r="C18" s="491" t="str">
        <f>K6</f>
        <v>1026</v>
      </c>
      <c r="D18" s="491">
        <f>K4</f>
        <v>2016</v>
      </c>
      <c r="E18" s="491" t="s">
        <v>2031</v>
      </c>
      <c r="F18" s="491" t="s">
        <v>2033</v>
      </c>
      <c r="G18" s="491" t="s">
        <v>315</v>
      </c>
      <c r="H18" s="505">
        <f>M38</f>
        <v>0</v>
      </c>
      <c r="I18" s="444"/>
      <c r="J18" s="647" t="s">
        <v>2313</v>
      </c>
      <c r="K18" s="667"/>
      <c r="L18" s="667" t="s">
        <v>2314</v>
      </c>
      <c r="M18" s="610"/>
      <c r="N18" s="675" t="s">
        <v>2315</v>
      </c>
      <c r="O18" s="673"/>
      <c r="P18" s="673"/>
      <c r="Q18" s="674"/>
      <c r="T18" s="453"/>
      <c r="U18" s="432"/>
      <c r="V18" s="432"/>
      <c r="W18" s="432"/>
    </row>
    <row r="19" spans="1:23" ht="15.75">
      <c r="A19" s="491" t="str">
        <f t="shared" ca="1" si="0"/>
        <v>Cover Page</v>
      </c>
      <c r="B19" s="491">
        <f>ROW()</f>
        <v>19</v>
      </c>
      <c r="C19" s="491" t="str">
        <f>K6</f>
        <v>1026</v>
      </c>
      <c r="D19" s="491">
        <f>K4</f>
        <v>2016</v>
      </c>
      <c r="E19" s="491" t="s">
        <v>2031</v>
      </c>
      <c r="F19" s="491" t="s">
        <v>2033</v>
      </c>
      <c r="G19" s="491" t="s">
        <v>121</v>
      </c>
      <c r="H19" s="505">
        <f>M38</f>
        <v>0</v>
      </c>
      <c r="I19" s="445"/>
      <c r="J19" s="590"/>
      <c r="K19" s="585" t="s">
        <v>295</v>
      </c>
      <c r="L19" s="586"/>
      <c r="M19" s="612"/>
      <c r="N19" s="586"/>
      <c r="O19" s="586"/>
      <c r="P19" s="586"/>
      <c r="Q19" s="591"/>
      <c r="T19" s="432"/>
      <c r="U19" s="432"/>
      <c r="V19" s="432"/>
      <c r="W19" s="432"/>
    </row>
    <row r="20" spans="1:23" ht="16.5" customHeight="1">
      <c r="A20" s="491" t="str">
        <f t="shared" ca="1" si="0"/>
        <v>Cover Page</v>
      </c>
      <c r="B20" s="491">
        <f>ROW()</f>
        <v>20</v>
      </c>
      <c r="C20" s="491" t="str">
        <f>K6</f>
        <v>1026</v>
      </c>
      <c r="D20" s="491">
        <f>K4</f>
        <v>2016</v>
      </c>
      <c r="E20" s="491" t="s">
        <v>2031</v>
      </c>
      <c r="F20" s="491" t="s">
        <v>2033</v>
      </c>
      <c r="G20" s="491" t="s">
        <v>2035</v>
      </c>
      <c r="H20" s="505">
        <f>M38</f>
        <v>0</v>
      </c>
      <c r="I20" s="444"/>
      <c r="J20" s="647" t="s">
        <v>2310</v>
      </c>
      <c r="K20" s="646"/>
      <c r="L20" s="667" t="s">
        <v>2311</v>
      </c>
      <c r="M20" s="610"/>
      <c r="N20" s="669" t="s">
        <v>2312</v>
      </c>
      <c r="O20" s="670"/>
      <c r="P20" s="670"/>
      <c r="Q20" s="671"/>
      <c r="T20" s="453"/>
      <c r="U20" s="432"/>
      <c r="V20" s="432"/>
      <c r="W20" s="432"/>
    </row>
    <row r="21" spans="1:23" ht="15.75">
      <c r="A21" s="491" t="str">
        <f t="shared" ca="1" si="0"/>
        <v>Cover Page</v>
      </c>
      <c r="B21" s="491">
        <f>ROW()</f>
        <v>21</v>
      </c>
      <c r="C21" s="491" t="str">
        <f>K6</f>
        <v>1026</v>
      </c>
      <c r="D21" s="491">
        <f>K4</f>
        <v>2016</v>
      </c>
      <c r="E21" s="491" t="s">
        <v>2031</v>
      </c>
      <c r="F21" s="491" t="s">
        <v>2033</v>
      </c>
      <c r="G21" s="491" t="s">
        <v>121</v>
      </c>
      <c r="H21" s="505">
        <f>M38</f>
        <v>0</v>
      </c>
      <c r="I21" s="445"/>
      <c r="J21" s="590"/>
      <c r="K21" s="585" t="s">
        <v>2301</v>
      </c>
      <c r="L21" s="586"/>
      <c r="M21" s="612"/>
      <c r="N21" s="586"/>
      <c r="O21" s="586"/>
      <c r="P21" s="586"/>
      <c r="Q21" s="591"/>
      <c r="T21" s="432"/>
      <c r="U21" s="432"/>
      <c r="V21" s="432"/>
      <c r="W21" s="432"/>
    </row>
    <row r="22" spans="1:23" ht="16.5" customHeight="1">
      <c r="A22" s="491" t="str">
        <f t="shared" ca="1" si="0"/>
        <v>Cover Page</v>
      </c>
      <c r="B22" s="491">
        <f>ROW()</f>
        <v>22</v>
      </c>
      <c r="C22" s="491" t="str">
        <f>K6</f>
        <v>1026</v>
      </c>
      <c r="D22" s="491">
        <f>K4</f>
        <v>2016</v>
      </c>
      <c r="E22" s="491" t="s">
        <v>2031</v>
      </c>
      <c r="F22" s="491" t="s">
        <v>2033</v>
      </c>
      <c r="G22" s="491" t="s">
        <v>2035</v>
      </c>
      <c r="H22" s="505">
        <f>M38</f>
        <v>0</v>
      </c>
      <c r="I22" s="444"/>
      <c r="J22" s="647" t="s">
        <v>2316</v>
      </c>
      <c r="K22" s="646"/>
      <c r="L22" s="667" t="s">
        <v>2317</v>
      </c>
      <c r="M22" s="610"/>
      <c r="N22" s="669" t="s">
        <v>2351</v>
      </c>
      <c r="O22" s="670"/>
      <c r="P22" s="670"/>
      <c r="Q22" s="671"/>
      <c r="T22" s="453"/>
      <c r="U22" s="432"/>
      <c r="V22" s="432"/>
      <c r="W22" s="432"/>
    </row>
    <row r="23" spans="1:23" ht="15.75">
      <c r="A23" s="491" t="str">
        <f t="shared" ca="1" si="0"/>
        <v>Cover Page</v>
      </c>
      <c r="B23" s="491">
        <f>ROW()</f>
        <v>23</v>
      </c>
      <c r="C23" s="491" t="str">
        <f>K6</f>
        <v>1026</v>
      </c>
      <c r="D23" s="491">
        <f>K4</f>
        <v>2016</v>
      </c>
      <c r="E23" s="491" t="s">
        <v>2031</v>
      </c>
      <c r="F23" s="491" t="s">
        <v>2033</v>
      </c>
      <c r="G23" s="491" t="s">
        <v>121</v>
      </c>
      <c r="H23" s="505">
        <f>M38</f>
        <v>0</v>
      </c>
      <c r="I23" s="445"/>
      <c r="J23" s="590"/>
      <c r="K23" s="593" t="s">
        <v>299</v>
      </c>
      <c r="L23" s="586"/>
      <c r="M23" s="611"/>
      <c r="N23" s="586"/>
      <c r="O23" s="586"/>
      <c r="P23" s="586"/>
      <c r="Q23" s="591"/>
      <c r="T23" s="432"/>
      <c r="U23" s="432"/>
      <c r="V23" s="432"/>
      <c r="W23" s="432"/>
    </row>
    <row r="24" spans="1:23" ht="15.75">
      <c r="A24" s="491" t="str">
        <f t="shared" ca="1" si="0"/>
        <v>Cover Page</v>
      </c>
      <c r="B24" s="491">
        <f>ROW()</f>
        <v>24</v>
      </c>
      <c r="C24" s="491" t="str">
        <f>K6</f>
        <v>1026</v>
      </c>
      <c r="D24" s="491">
        <f>K4</f>
        <v>2016</v>
      </c>
      <c r="E24" s="491" t="s">
        <v>2031</v>
      </c>
      <c r="F24" s="491" t="s">
        <v>2033</v>
      </c>
      <c r="G24" s="491" t="s">
        <v>121</v>
      </c>
      <c r="H24" s="505">
        <f>M38</f>
        <v>0</v>
      </c>
      <c r="I24" s="445"/>
      <c r="J24" s="594" t="s">
        <v>2091</v>
      </c>
      <c r="K24" s="589" t="s">
        <v>2093</v>
      </c>
      <c r="L24" s="586" t="s">
        <v>2092</v>
      </c>
      <c r="M24" s="601" t="s">
        <v>297</v>
      </c>
      <c r="N24" s="586" t="s">
        <v>298</v>
      </c>
      <c r="O24" s="586"/>
      <c r="P24" s="586"/>
      <c r="Q24" s="586"/>
      <c r="T24" s="443"/>
      <c r="U24" s="432"/>
      <c r="V24" s="432"/>
      <c r="W24" s="432"/>
    </row>
    <row r="25" spans="1:23" ht="16.5" customHeight="1">
      <c r="A25" s="491" t="str">
        <f t="shared" ca="1" si="0"/>
        <v>Cover Page</v>
      </c>
      <c r="B25" s="491">
        <f>ROW()</f>
        <v>25</v>
      </c>
      <c r="C25" s="491" t="str">
        <f>K6</f>
        <v>1026</v>
      </c>
      <c r="D25" s="491">
        <f>K4</f>
        <v>2016</v>
      </c>
      <c r="E25" s="491" t="s">
        <v>2031</v>
      </c>
      <c r="F25" s="491" t="s">
        <v>2033</v>
      </c>
      <c r="G25" s="491" t="s">
        <v>2042</v>
      </c>
      <c r="H25" s="505">
        <f>M38</f>
        <v>0</v>
      </c>
      <c r="I25" s="444"/>
      <c r="J25" s="598" t="s">
        <v>2318</v>
      </c>
      <c r="K25" s="599"/>
      <c r="L25" s="599" t="s">
        <v>2319</v>
      </c>
      <c r="M25" s="609">
        <v>43100</v>
      </c>
      <c r="N25" s="672" t="s">
        <v>2322</v>
      </c>
      <c r="O25" s="673"/>
      <c r="P25" s="673"/>
      <c r="Q25" s="674"/>
      <c r="T25" s="453"/>
      <c r="U25" s="432"/>
      <c r="V25" s="432"/>
      <c r="W25" s="432"/>
    </row>
    <row r="26" spans="1:23" ht="15.75">
      <c r="A26" s="491" t="str">
        <f t="shared" ca="1" si="0"/>
        <v>Cover Page</v>
      </c>
      <c r="B26" s="491">
        <f>ROW()</f>
        <v>26</v>
      </c>
      <c r="C26" s="491" t="str">
        <f>K6</f>
        <v>1026</v>
      </c>
      <c r="D26" s="491">
        <f>K4</f>
        <v>2016</v>
      </c>
      <c r="E26" s="491" t="s">
        <v>2031</v>
      </c>
      <c r="F26" s="491" t="s">
        <v>2033</v>
      </c>
      <c r="G26" s="491" t="s">
        <v>2043</v>
      </c>
      <c r="H26" s="505">
        <f>M38</f>
        <v>0</v>
      </c>
      <c r="I26" s="447"/>
      <c r="J26" s="598" t="s">
        <v>2320</v>
      </c>
      <c r="K26" s="599"/>
      <c r="L26" s="599" t="s">
        <v>2321</v>
      </c>
      <c r="M26" s="614">
        <v>43465</v>
      </c>
      <c r="N26" s="672" t="s">
        <v>2323</v>
      </c>
      <c r="O26" s="673"/>
      <c r="P26" s="673"/>
      <c r="Q26" s="674"/>
      <c r="T26" s="453"/>
      <c r="U26" s="432"/>
      <c r="V26" s="432"/>
      <c r="W26" s="432"/>
    </row>
    <row r="27" spans="1:23" ht="15.75">
      <c r="A27" s="491" t="str">
        <f t="shared" ca="1" si="0"/>
        <v>Cover Page</v>
      </c>
      <c r="B27" s="491">
        <f>ROW()</f>
        <v>27</v>
      </c>
      <c r="C27" s="491" t="str">
        <f>K6</f>
        <v>1026</v>
      </c>
      <c r="D27" s="491">
        <f>K4</f>
        <v>2016</v>
      </c>
      <c r="E27" s="491" t="s">
        <v>2031</v>
      </c>
      <c r="F27" s="491" t="s">
        <v>2033</v>
      </c>
      <c r="G27" s="491" t="s">
        <v>2044</v>
      </c>
      <c r="H27" s="505">
        <f>M38</f>
        <v>0</v>
      </c>
      <c r="I27" s="445"/>
      <c r="J27" s="598"/>
      <c r="K27" s="599"/>
      <c r="L27" s="599"/>
      <c r="M27" s="614"/>
      <c r="N27" s="672"/>
      <c r="O27" s="673"/>
      <c r="P27" s="673"/>
      <c r="Q27" s="674"/>
      <c r="T27" s="453"/>
      <c r="U27" s="432"/>
      <c r="V27" s="432"/>
      <c r="W27" s="432"/>
    </row>
    <row r="28" spans="1:23" ht="15.75">
      <c r="A28" s="491" t="str">
        <f t="shared" ca="1" si="0"/>
        <v>Cover Page</v>
      </c>
      <c r="B28" s="491">
        <f>ROW()</f>
        <v>28</v>
      </c>
      <c r="C28" s="491" t="str">
        <f>K6</f>
        <v>1026</v>
      </c>
      <c r="D28" s="491">
        <f>K4</f>
        <v>2016</v>
      </c>
      <c r="E28" s="491" t="s">
        <v>2031</v>
      </c>
      <c r="F28" s="491" t="s">
        <v>2033</v>
      </c>
      <c r="G28" s="491" t="s">
        <v>2045</v>
      </c>
      <c r="H28" s="505">
        <f>M38</f>
        <v>0</v>
      </c>
      <c r="I28" s="446"/>
      <c r="J28" s="598"/>
      <c r="K28" s="599"/>
      <c r="L28" s="599"/>
      <c r="M28" s="614"/>
      <c r="N28" s="672"/>
      <c r="O28" s="673"/>
      <c r="P28" s="673"/>
      <c r="Q28" s="674"/>
      <c r="T28" s="453"/>
      <c r="U28" s="432"/>
      <c r="V28" s="432"/>
      <c r="W28" s="432"/>
    </row>
    <row r="29" spans="1:23" ht="15.75">
      <c r="A29" s="491" t="str">
        <f t="shared" ca="1" si="0"/>
        <v>Cover Page</v>
      </c>
      <c r="B29" s="491">
        <f>ROW()</f>
        <v>29</v>
      </c>
      <c r="C29" s="491" t="str">
        <f>K6</f>
        <v>1026</v>
      </c>
      <c r="D29" s="491">
        <f>K4</f>
        <v>2016</v>
      </c>
      <c r="E29" s="491" t="s">
        <v>2031</v>
      </c>
      <c r="F29" s="491" t="s">
        <v>2033</v>
      </c>
      <c r="G29" s="491" t="s">
        <v>2046</v>
      </c>
      <c r="H29" s="505">
        <f>M38</f>
        <v>0</v>
      </c>
      <c r="I29" s="444"/>
      <c r="J29" s="598"/>
      <c r="K29" s="599"/>
      <c r="L29" s="599"/>
      <c r="M29" s="614"/>
      <c r="N29" s="672"/>
      <c r="O29" s="673"/>
      <c r="P29" s="673"/>
      <c r="Q29" s="674"/>
      <c r="T29" s="453"/>
      <c r="U29" s="432"/>
      <c r="V29" s="432"/>
      <c r="W29" s="432"/>
    </row>
    <row r="30" spans="1:23" ht="15.75">
      <c r="A30" s="491" t="str">
        <f t="shared" ca="1" si="0"/>
        <v>Cover Page</v>
      </c>
      <c r="B30" s="491">
        <f>ROW()</f>
        <v>30</v>
      </c>
      <c r="C30" s="491" t="str">
        <f>K6</f>
        <v>1026</v>
      </c>
      <c r="D30" s="491">
        <f>K4</f>
        <v>2016</v>
      </c>
      <c r="E30" s="491" t="s">
        <v>2031</v>
      </c>
      <c r="F30" s="491" t="s">
        <v>2033</v>
      </c>
      <c r="G30" s="491" t="s">
        <v>2047</v>
      </c>
      <c r="H30" s="505">
        <f>M38</f>
        <v>0</v>
      </c>
      <c r="I30" s="445"/>
      <c r="J30" s="598"/>
      <c r="K30" s="599"/>
      <c r="L30" s="599"/>
      <c r="M30" s="614"/>
      <c r="N30" s="672"/>
      <c r="O30" s="673"/>
      <c r="P30" s="673"/>
      <c r="Q30" s="674"/>
      <c r="T30" s="453"/>
      <c r="U30" s="432"/>
      <c r="V30" s="432"/>
      <c r="W30" s="432"/>
    </row>
    <row r="31" spans="1:23" ht="15.75">
      <c r="A31" s="491" t="str">
        <f t="shared" ca="1" si="0"/>
        <v>Cover Page</v>
      </c>
      <c r="B31" s="491">
        <f>ROW()</f>
        <v>31</v>
      </c>
      <c r="C31" s="491" t="str">
        <f>K6</f>
        <v>1026</v>
      </c>
      <c r="D31" s="491">
        <f>K4</f>
        <v>2016</v>
      </c>
      <c r="E31" s="491" t="s">
        <v>2031</v>
      </c>
      <c r="F31" s="491" t="s">
        <v>2033</v>
      </c>
      <c r="G31" s="491" t="s">
        <v>2048</v>
      </c>
      <c r="H31" s="505">
        <f>M38</f>
        <v>0</v>
      </c>
      <c r="I31" s="446"/>
      <c r="J31" s="598"/>
      <c r="K31" s="599"/>
      <c r="L31" s="599"/>
      <c r="M31" s="614"/>
      <c r="N31" s="672"/>
      <c r="O31" s="673"/>
      <c r="P31" s="673"/>
      <c r="Q31" s="674"/>
      <c r="T31" s="453"/>
      <c r="U31" s="432"/>
      <c r="V31" s="432"/>
      <c r="W31" s="432"/>
    </row>
    <row r="32" spans="1:23" ht="15.75">
      <c r="A32" s="491" t="str">
        <f t="shared" ca="1" si="0"/>
        <v>Cover Page</v>
      </c>
      <c r="B32" s="491">
        <f>ROW()</f>
        <v>32</v>
      </c>
      <c r="C32" s="491" t="str">
        <f>K6</f>
        <v>1026</v>
      </c>
      <c r="D32" s="491">
        <f>K4</f>
        <v>2016</v>
      </c>
      <c r="E32" s="491" t="s">
        <v>2031</v>
      </c>
      <c r="F32" s="491" t="s">
        <v>2033</v>
      </c>
      <c r="G32" s="491" t="s">
        <v>2049</v>
      </c>
      <c r="H32" s="505">
        <f>M38</f>
        <v>0</v>
      </c>
      <c r="I32" s="444"/>
      <c r="J32" s="598"/>
      <c r="K32" s="599"/>
      <c r="L32" s="599"/>
      <c r="M32" s="614"/>
      <c r="N32" s="672"/>
      <c r="O32" s="673"/>
      <c r="P32" s="673"/>
      <c r="Q32" s="674"/>
      <c r="T32" s="453"/>
      <c r="U32" s="432"/>
      <c r="V32" s="432"/>
      <c r="W32" s="432"/>
    </row>
    <row r="33" spans="1:24" ht="15.75">
      <c r="A33" s="491" t="str">
        <f t="shared" ca="1" si="0"/>
        <v>Cover Page</v>
      </c>
      <c r="B33" s="491">
        <f>ROW()</f>
        <v>33</v>
      </c>
      <c r="C33" s="491" t="str">
        <f>K6</f>
        <v>1026</v>
      </c>
      <c r="D33" s="491">
        <f>K4</f>
        <v>2016</v>
      </c>
      <c r="E33" s="491" t="s">
        <v>2031</v>
      </c>
      <c r="F33" s="491" t="s">
        <v>2033</v>
      </c>
      <c r="G33" s="491" t="s">
        <v>2050</v>
      </c>
      <c r="H33" s="505">
        <f>M38</f>
        <v>0</v>
      </c>
      <c r="I33" s="445"/>
      <c r="J33" s="598"/>
      <c r="K33" s="599"/>
      <c r="L33" s="599"/>
      <c r="M33" s="614"/>
      <c r="N33" s="672"/>
      <c r="O33" s="673"/>
      <c r="P33" s="673"/>
      <c r="Q33" s="674"/>
      <c r="T33" s="453"/>
      <c r="U33" s="432"/>
      <c r="V33" s="432"/>
      <c r="W33" s="432"/>
    </row>
    <row r="34" spans="1:24" ht="15.75">
      <c r="A34" s="491" t="str">
        <f t="shared" ca="1" si="0"/>
        <v>Cover Page</v>
      </c>
      <c r="B34" s="491">
        <f>ROW()</f>
        <v>34</v>
      </c>
      <c r="C34" s="491" t="str">
        <f>K6</f>
        <v>1026</v>
      </c>
      <c r="D34" s="491">
        <f>K4</f>
        <v>2016</v>
      </c>
      <c r="E34" s="491" t="s">
        <v>2031</v>
      </c>
      <c r="F34" s="491" t="s">
        <v>2033</v>
      </c>
      <c r="G34" s="491" t="s">
        <v>2051</v>
      </c>
      <c r="H34" s="505">
        <f>M38</f>
        <v>0</v>
      </c>
      <c r="I34" s="446"/>
      <c r="J34" s="598"/>
      <c r="K34" s="599"/>
      <c r="L34" s="599"/>
      <c r="M34" s="614"/>
      <c r="N34" s="672"/>
      <c r="O34" s="673"/>
      <c r="P34" s="673"/>
      <c r="Q34" s="674"/>
      <c r="R34" s="448"/>
      <c r="S34" s="453"/>
      <c r="T34" s="453"/>
      <c r="U34" s="432"/>
      <c r="V34" s="432"/>
      <c r="W34" s="432"/>
    </row>
    <row r="35" spans="1:24" ht="15.75">
      <c r="A35" s="491" t="str">
        <f t="shared" ca="1" si="0"/>
        <v>Cover Page</v>
      </c>
      <c r="B35" s="491">
        <f>ROW()</f>
        <v>35</v>
      </c>
      <c r="C35" s="491" t="str">
        <f>K6</f>
        <v>1026</v>
      </c>
      <c r="D35" s="491">
        <f>K4</f>
        <v>2016</v>
      </c>
      <c r="E35" s="491" t="s">
        <v>2031</v>
      </c>
      <c r="F35" s="491" t="s">
        <v>2033</v>
      </c>
      <c r="G35" s="491" t="s">
        <v>2052</v>
      </c>
      <c r="H35" s="505">
        <f>M38</f>
        <v>0</v>
      </c>
      <c r="I35" s="444"/>
      <c r="J35" s="598"/>
      <c r="K35" s="599"/>
      <c r="L35" s="599"/>
      <c r="M35" s="614"/>
      <c r="N35" s="672"/>
      <c r="O35" s="673"/>
      <c r="P35" s="673"/>
      <c r="Q35" s="674"/>
      <c r="R35" s="449"/>
      <c r="S35" s="453"/>
      <c r="T35" s="453"/>
      <c r="U35" s="432"/>
      <c r="V35" s="432"/>
      <c r="W35" s="432"/>
    </row>
    <row r="36" spans="1:24" ht="15.75">
      <c r="A36" s="491"/>
      <c r="B36" s="491"/>
      <c r="C36" s="491"/>
      <c r="D36" s="491">
        <f>K4</f>
        <v>2016</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1026</v>
      </c>
      <c r="D37" s="491">
        <f>K4</f>
        <v>2016</v>
      </c>
      <c r="E37" s="491" t="s">
        <v>2031</v>
      </c>
      <c r="F37" s="491" t="s">
        <v>2037</v>
      </c>
      <c r="G37" s="491" t="s">
        <v>2038</v>
      </c>
      <c r="H37" s="505">
        <f>M38</f>
        <v>0</v>
      </c>
      <c r="I37" s="507" t="str">
        <f>"s:\LGS Docs\a_1budget\"&amp;A4&amp;"\"&amp;D4&amp;"\ufb\"&amp;N6</f>
        <v xml:space="preserve">s:\LGS Docs\a_1budget\1026 West Amwell Township - County of Hunterdon\2016\ufb\1026_fbi_2016.xlsm </v>
      </c>
      <c r="K37" s="507"/>
      <c r="L37" s="507"/>
      <c r="M37" s="507"/>
      <c r="N37" s="663"/>
      <c r="O37" s="663"/>
      <c r="P37" s="663"/>
      <c r="Q37" s="663"/>
      <c r="R37" s="507"/>
    </row>
    <row r="38" spans="1:24">
      <c r="A38" s="504" t="str">
        <f ca="1">MID(CELL("filename",A26),FIND("]",CELL("filename",A26))+1,256)</f>
        <v>Cover Page</v>
      </c>
      <c r="B38" s="503">
        <f>ROW()</f>
        <v>38</v>
      </c>
      <c r="C38" s="504" t="str">
        <f>K6</f>
        <v>1026</v>
      </c>
      <c r="D38" s="491">
        <f>K4</f>
        <v>2016</v>
      </c>
      <c r="E38" s="491" t="s">
        <v>2031</v>
      </c>
      <c r="F38" s="491" t="s">
        <v>2037</v>
      </c>
      <c r="G38" s="491" t="s">
        <v>2037</v>
      </c>
      <c r="H38" s="505">
        <f>M38</f>
        <v>0</v>
      </c>
      <c r="I38" s="507" t="str">
        <f>"s:\LGS Docs\a_1budget_files\"&amp;D4&amp;"\ufb\"&amp;N6</f>
        <v xml:space="preserve">s:\LGS Docs\a_1budget_files\2016\ufb\1026_fbi_2016.xlsm </v>
      </c>
      <c r="K38" s="507"/>
      <c r="L38" s="550" t="s">
        <v>2236</v>
      </c>
      <c r="M38" s="664"/>
      <c r="N38" s="663"/>
      <c r="O38" s="663"/>
      <c r="P38" s="663"/>
      <c r="Q38" s="663"/>
      <c r="R38" s="507"/>
    </row>
    <row r="39" spans="1:24">
      <c r="A39" s="504" t="str">
        <f ca="1">MID(CELL("filename",A27),FIND("]",CELL("filename",A27))+1,256)</f>
        <v>Cover Page</v>
      </c>
      <c r="B39" s="503">
        <f>ROW()</f>
        <v>39</v>
      </c>
      <c r="C39" s="504" t="str">
        <f>K7</f>
        <v>Website:</v>
      </c>
      <c r="D39" s="491">
        <f>K4</f>
        <v>2016</v>
      </c>
      <c r="E39" s="491" t="s">
        <v>2031</v>
      </c>
      <c r="F39" s="491" t="s">
        <v>2037</v>
      </c>
      <c r="G39" s="491" t="s">
        <v>2237</v>
      </c>
      <c r="H39" s="505">
        <f>M38</f>
        <v>0</v>
      </c>
      <c r="I39" s="507"/>
      <c r="K39" s="507"/>
      <c r="L39" s="550" t="s">
        <v>2235</v>
      </c>
      <c r="M39" s="665"/>
      <c r="N39" s="663"/>
      <c r="O39" s="663"/>
      <c r="P39" s="663"/>
      <c r="Q39" s="663"/>
      <c r="R39" s="507"/>
    </row>
    <row r="40" spans="1:24" ht="17.25" hidden="1" customHeight="1">
      <c r="A40" s="504" t="str">
        <f ca="1">MID(CELL("filename",A27),FIND("]",CELL("filename",A27))+1,256)</f>
        <v>Cover Page</v>
      </c>
      <c r="B40" s="503">
        <f>ROW()</f>
        <v>40</v>
      </c>
      <c r="C40" s="504" t="str">
        <f>K6</f>
        <v>1026</v>
      </c>
      <c r="D40" s="491">
        <f>K4</f>
        <v>2016</v>
      </c>
      <c r="E40" s="491" t="s">
        <v>2031</v>
      </c>
      <c r="F40" s="491" t="s">
        <v>2090</v>
      </c>
      <c r="G40" s="491" t="s">
        <v>2037</v>
      </c>
      <c r="H40" s="505">
        <f>M38</f>
        <v>0</v>
      </c>
      <c r="I40" s="506" t="str">
        <f>N6</f>
        <v xml:space="preserve">1026_fbi_2016.xlsm </v>
      </c>
      <c r="J40" s="506" t="str">
        <f>K6</f>
        <v>1026</v>
      </c>
      <c r="K40" s="506" t="str">
        <f>A4</f>
        <v>1026 West Amwell Township - County of Hunterdon</v>
      </c>
      <c r="L40" s="506" t="str">
        <f>L7</f>
        <v>www.westamwelltwp.org</v>
      </c>
      <c r="M40" s="506" t="str">
        <f>M8</f>
        <v>609-397-2054</v>
      </c>
      <c r="N40" s="506" t="str">
        <f>M9</f>
        <v>150 Rocktown Lambertville Rd</v>
      </c>
      <c r="O40" s="506" t="str">
        <f>M10</f>
        <v>Lambertville</v>
      </c>
      <c r="P40" s="506" t="s">
        <v>121</v>
      </c>
      <c r="Q40" s="506" t="str">
        <f>O11</f>
        <v>NJ</v>
      </c>
      <c r="R40" s="506" t="str">
        <f>Q11</f>
        <v>08530</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51"/>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password="C7B6"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4" workbookViewId="0">
      <selection activeCell="M11" sqref="M11"/>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1026</v>
      </c>
      <c r="D1" s="491">
        <f>'Cover Page'!K4</f>
        <v>2016</v>
      </c>
      <c r="E1" s="491" t="s">
        <v>2031</v>
      </c>
      <c r="F1" s="491" t="s">
        <v>121</v>
      </c>
      <c r="G1" s="491"/>
      <c r="H1" s="505">
        <f>'Cover Page'!M38</f>
        <v>0</v>
      </c>
      <c r="J1" s="685" t="s">
        <v>285</v>
      </c>
      <c r="K1" s="685"/>
      <c r="L1" s="685"/>
      <c r="M1" s="685"/>
    </row>
    <row r="2" spans="1:16" ht="57.75">
      <c r="A2" s="491" t="str">
        <f ca="1">MID(CELL("filename",A2),FIND("]",CELL("filename",A2))+1,256)</f>
        <v>UFB-8 Health Benefits</v>
      </c>
      <c r="B2" s="491">
        <f>ROW()</f>
        <v>2</v>
      </c>
      <c r="C2" s="491" t="str">
        <f>'Cover Page'!K6</f>
        <v>1026</v>
      </c>
      <c r="D2" s="491">
        <f>'Cover Page'!K4</f>
        <v>2016</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1026</v>
      </c>
      <c r="D3" s="491">
        <f>'Cover Page'!K4</f>
        <v>2016</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1026</v>
      </c>
      <c r="D4" s="491">
        <f>'Cover Page'!K4</f>
        <v>2016</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1026</v>
      </c>
      <c r="D5" s="491">
        <f>'Cover Page'!K4</f>
        <v>2016</v>
      </c>
      <c r="E5" s="491" t="s">
        <v>2031</v>
      </c>
      <c r="F5" s="491" t="s">
        <v>2177</v>
      </c>
      <c r="G5" s="491" t="s">
        <v>2171</v>
      </c>
      <c r="H5" s="505">
        <f>'Cover Page'!M38</f>
        <v>0</v>
      </c>
      <c r="J5" s="161" t="s">
        <v>183</v>
      </c>
      <c r="K5" s="162">
        <v>4</v>
      </c>
      <c r="L5" s="271">
        <v>11234</v>
      </c>
      <c r="M5" s="272">
        <f>K5*L5</f>
        <v>44936</v>
      </c>
      <c r="N5" s="162">
        <v>4</v>
      </c>
      <c r="O5" s="271">
        <v>10817</v>
      </c>
      <c r="P5" s="272">
        <f>N5*O5</f>
        <v>43268</v>
      </c>
    </row>
    <row r="6" spans="1:16">
      <c r="A6" s="491" t="str">
        <f t="shared" ca="1" si="0"/>
        <v>UFB-8 Health Benefits</v>
      </c>
      <c r="B6" s="491">
        <f>ROW()</f>
        <v>6</v>
      </c>
      <c r="C6" s="491" t="str">
        <f>'Cover Page'!K6</f>
        <v>1026</v>
      </c>
      <c r="D6" s="491">
        <f>'Cover Page'!K4</f>
        <v>2016</v>
      </c>
      <c r="E6" s="491" t="s">
        <v>2031</v>
      </c>
      <c r="F6" s="491" t="s">
        <v>2177</v>
      </c>
      <c r="G6" s="491" t="s">
        <v>2172</v>
      </c>
      <c r="H6" s="505">
        <f>'Cover Page'!M38</f>
        <v>0</v>
      </c>
      <c r="J6" s="161" t="s">
        <v>184</v>
      </c>
      <c r="K6" s="162">
        <v>2</v>
      </c>
      <c r="L6" s="271">
        <v>19918</v>
      </c>
      <c r="M6" s="272">
        <f>K6*L6</f>
        <v>39836</v>
      </c>
      <c r="N6" s="162">
        <v>2</v>
      </c>
      <c r="O6" s="271">
        <v>18138</v>
      </c>
      <c r="P6" s="272">
        <f>N6*O6</f>
        <v>36276</v>
      </c>
    </row>
    <row r="7" spans="1:16">
      <c r="A7" s="491" t="str">
        <f t="shared" ca="1" si="0"/>
        <v>UFB-8 Health Benefits</v>
      </c>
      <c r="B7" s="491">
        <f>ROW()</f>
        <v>7</v>
      </c>
      <c r="C7" s="491" t="str">
        <f>'Cover Page'!K6</f>
        <v>1026</v>
      </c>
      <c r="D7" s="491">
        <f>'Cover Page'!K4</f>
        <v>2016</v>
      </c>
      <c r="E7" s="491" t="s">
        <v>2031</v>
      </c>
      <c r="F7" s="491" t="s">
        <v>2177</v>
      </c>
      <c r="G7" s="491" t="s">
        <v>2173</v>
      </c>
      <c r="H7" s="505">
        <f>'Cover Page'!M38</f>
        <v>0</v>
      </c>
      <c r="J7" s="161" t="s">
        <v>185</v>
      </c>
      <c r="K7" s="162">
        <v>3</v>
      </c>
      <c r="L7" s="271">
        <v>22326</v>
      </c>
      <c r="M7" s="272">
        <f>K7*L7</f>
        <v>66978</v>
      </c>
      <c r="N7" s="162">
        <v>4</v>
      </c>
      <c r="O7" s="271">
        <v>21549</v>
      </c>
      <c r="P7" s="272">
        <f>N7*O7</f>
        <v>86196</v>
      </c>
    </row>
    <row r="8" spans="1:16">
      <c r="A8" s="491" t="str">
        <f t="shared" ca="1" si="0"/>
        <v>UFB-8 Health Benefits</v>
      </c>
      <c r="B8" s="491">
        <f>ROW()</f>
        <v>8</v>
      </c>
      <c r="C8" s="491" t="str">
        <f>'Cover Page'!K6</f>
        <v>1026</v>
      </c>
      <c r="D8" s="491">
        <f>'Cover Page'!K4</f>
        <v>2016</v>
      </c>
      <c r="E8" s="491" t="s">
        <v>2031</v>
      </c>
      <c r="F8" s="491" t="s">
        <v>2177</v>
      </c>
      <c r="G8" s="491" t="s">
        <v>2174</v>
      </c>
      <c r="H8" s="505">
        <f>'Cover Page'!M38</f>
        <v>0</v>
      </c>
      <c r="J8" s="161" t="s">
        <v>186</v>
      </c>
      <c r="K8" s="162">
        <v>6</v>
      </c>
      <c r="L8" s="271">
        <v>31202</v>
      </c>
      <c r="M8" s="272">
        <f>K8*L8</f>
        <v>187212</v>
      </c>
      <c r="N8" s="162">
        <v>5</v>
      </c>
      <c r="O8" s="271">
        <v>28961</v>
      </c>
      <c r="P8" s="272">
        <f>N8*O8</f>
        <v>144805</v>
      </c>
    </row>
    <row r="9" spans="1:16">
      <c r="A9" s="491" t="str">
        <f t="shared" ca="1" si="0"/>
        <v>UFB-8 Health Benefits</v>
      </c>
      <c r="B9" s="491">
        <f>ROW()</f>
        <v>9</v>
      </c>
      <c r="C9" s="491" t="str">
        <f>'Cover Page'!K6</f>
        <v>1026</v>
      </c>
      <c r="D9" s="491">
        <f>'Cover Page'!K4</f>
        <v>2016</v>
      </c>
      <c r="E9" s="491" t="s">
        <v>2031</v>
      </c>
      <c r="F9" s="491" t="s">
        <v>2177</v>
      </c>
      <c r="G9" s="491" t="s">
        <v>2175</v>
      </c>
      <c r="H9" s="505">
        <f>'Cover Page'!M38</f>
        <v>0</v>
      </c>
      <c r="J9" s="161" t="s">
        <v>187</v>
      </c>
      <c r="K9" s="169"/>
      <c r="L9" s="559"/>
      <c r="M9" s="560">
        <v>-36832</v>
      </c>
      <c r="N9" s="169"/>
      <c r="O9" s="559"/>
      <c r="P9" s="560">
        <v>-29812</v>
      </c>
    </row>
    <row r="10" spans="1:16">
      <c r="A10" s="491" t="str">
        <f ca="1">MID(CELL("filename",A10),FIND("]",CELL("filename",A10))+1,256)</f>
        <v>UFB-8 Health Benefits</v>
      </c>
      <c r="B10" s="491">
        <f>ROW()</f>
        <v>10</v>
      </c>
      <c r="C10" s="491" t="str">
        <f>'Cover Page'!K6</f>
        <v>1026</v>
      </c>
      <c r="D10" s="491">
        <f>'Cover Page'!K4</f>
        <v>2016</v>
      </c>
      <c r="E10" s="491" t="s">
        <v>2031</v>
      </c>
      <c r="F10" s="491" t="s">
        <v>2177</v>
      </c>
      <c r="G10" s="491" t="s">
        <v>2176</v>
      </c>
      <c r="H10" s="505">
        <f>'Cover Page'!M38</f>
        <v>0</v>
      </c>
      <c r="J10" s="161" t="s">
        <v>188</v>
      </c>
      <c r="K10" s="607">
        <f>SUM(K5:K8)</f>
        <v>15</v>
      </c>
      <c r="L10" s="559"/>
      <c r="M10" s="273">
        <f>SUM(M5:M9)</f>
        <v>302130</v>
      </c>
      <c r="N10" s="607">
        <f>SUM(N5:N8)</f>
        <v>15</v>
      </c>
      <c r="O10" s="559"/>
      <c r="P10" s="273">
        <f>SUM(P5:P9)</f>
        <v>280733</v>
      </c>
    </row>
    <row r="11" spans="1:16" ht="3.75" customHeight="1">
      <c r="A11" s="491" t="str">
        <f ca="1">MID(CELL("filename",A11),FIND("]",CELL("filename",A11))+1,256)</f>
        <v>UFB-8 Health Benefits</v>
      </c>
      <c r="B11" s="491">
        <f>ROW()</f>
        <v>11</v>
      </c>
      <c r="C11" s="491" t="str">
        <f>'Cover Page'!K6</f>
        <v>1026</v>
      </c>
      <c r="D11" s="491">
        <f>'Cover Page'!K4</f>
        <v>2016</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1026</v>
      </c>
      <c r="D12" s="491">
        <f>'Cover Page'!K4</f>
        <v>2016</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1026</v>
      </c>
      <c r="D13" s="491">
        <f>'Cover Page'!K4</f>
        <v>2016</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1026</v>
      </c>
      <c r="D14" s="491">
        <f>'Cover Page'!K4</f>
        <v>2016</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1026</v>
      </c>
      <c r="D15" s="491">
        <f>'Cover Page'!K4</f>
        <v>2016</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1026</v>
      </c>
      <c r="D16" s="491">
        <f>'Cover Page'!K4</f>
        <v>2016</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1026</v>
      </c>
      <c r="D17" s="491">
        <f>'Cover Page'!K4</f>
        <v>2016</v>
      </c>
      <c r="E17" s="491" t="s">
        <v>2031</v>
      </c>
      <c r="F17" s="491" t="s">
        <v>2178</v>
      </c>
      <c r="G17" s="491" t="s">
        <v>2175</v>
      </c>
      <c r="H17" s="505">
        <f>'Cover Page'!M38</f>
        <v>0</v>
      </c>
      <c r="J17" s="161" t="s">
        <v>187</v>
      </c>
      <c r="K17" s="297"/>
      <c r="L17" s="559"/>
      <c r="M17" s="560"/>
      <c r="N17" s="297"/>
      <c r="O17" s="559"/>
      <c r="P17" s="560"/>
    </row>
    <row r="18" spans="1:19">
      <c r="A18" s="491" t="str">
        <f t="shared" ca="1" si="0"/>
        <v>UFB-8 Health Benefits</v>
      </c>
      <c r="B18" s="491">
        <f>ROW()</f>
        <v>18</v>
      </c>
      <c r="C18" s="491" t="str">
        <f>'Cover Page'!K6</f>
        <v>1026</v>
      </c>
      <c r="D18" s="491">
        <f>'Cover Page'!K4</f>
        <v>2016</v>
      </c>
      <c r="E18" s="491" t="s">
        <v>2031</v>
      </c>
      <c r="F18" s="491" t="s">
        <v>2178</v>
      </c>
      <c r="G18" s="491" t="s">
        <v>2176</v>
      </c>
      <c r="H18" s="505">
        <f>'Cover Page'!M38</f>
        <v>0</v>
      </c>
      <c r="J18" s="161" t="s">
        <v>188</v>
      </c>
      <c r="K18" s="607">
        <f>SUM(K13:K16)</f>
        <v>0</v>
      </c>
      <c r="L18" s="559"/>
      <c r="M18" s="273">
        <f>SUM(M13:M17)</f>
        <v>0</v>
      </c>
      <c r="N18" s="607">
        <f>SUM(N13:N16)</f>
        <v>0</v>
      </c>
      <c r="O18" s="559"/>
      <c r="P18" s="273">
        <f>SUM(P13:P17)</f>
        <v>0</v>
      </c>
    </row>
    <row r="19" spans="1:19" ht="2.25" customHeight="1">
      <c r="A19" s="491" t="str">
        <f t="shared" ca="1" si="0"/>
        <v>UFB-8 Health Benefits</v>
      </c>
      <c r="B19" s="491">
        <f>ROW()</f>
        <v>19</v>
      </c>
      <c r="C19" s="491" t="str">
        <f>'Cover Page'!K6</f>
        <v>1026</v>
      </c>
      <c r="D19" s="491">
        <f>'Cover Page'!K4</f>
        <v>2016</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1026</v>
      </c>
      <c r="D20" s="491">
        <f>'Cover Page'!K4</f>
        <v>2016</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1026</v>
      </c>
      <c r="D21" s="491">
        <f>'Cover Page'!K4</f>
        <v>2016</v>
      </c>
      <c r="E21" s="491" t="s">
        <v>2031</v>
      </c>
      <c r="F21" s="491" t="s">
        <v>2179</v>
      </c>
      <c r="G21" s="491" t="s">
        <v>2171</v>
      </c>
      <c r="H21" s="505">
        <f>'Cover Page'!M38</f>
        <v>0</v>
      </c>
      <c r="J21" s="161" t="s">
        <v>183</v>
      </c>
      <c r="K21" s="296">
        <v>2</v>
      </c>
      <c r="L21" s="271">
        <v>6485</v>
      </c>
      <c r="M21" s="272">
        <f>K21*L21</f>
        <v>12970</v>
      </c>
      <c r="N21" s="296">
        <v>2</v>
      </c>
      <c r="O21" s="271">
        <v>6189</v>
      </c>
      <c r="P21" s="272">
        <f>N21*O21</f>
        <v>12378</v>
      </c>
    </row>
    <row r="22" spans="1:19">
      <c r="A22" s="491" t="str">
        <f t="shared" ca="1" si="0"/>
        <v>UFB-8 Health Benefits</v>
      </c>
      <c r="B22" s="491">
        <f>ROW()</f>
        <v>22</v>
      </c>
      <c r="C22" s="491" t="str">
        <f>'Cover Page'!K6</f>
        <v>1026</v>
      </c>
      <c r="D22" s="491">
        <f>'Cover Page'!K4</f>
        <v>2016</v>
      </c>
      <c r="E22" s="491" t="s">
        <v>2031</v>
      </c>
      <c r="F22" s="491" t="s">
        <v>2179</v>
      </c>
      <c r="G22" s="491" t="s">
        <v>2172</v>
      </c>
      <c r="H22" s="505">
        <f>'Cover Page'!M38</f>
        <v>0</v>
      </c>
      <c r="J22" s="161" t="s">
        <v>184</v>
      </c>
      <c r="K22" s="296"/>
      <c r="L22" s="271"/>
      <c r="M22" s="272">
        <f>K22*L22</f>
        <v>0</v>
      </c>
      <c r="N22" s="296"/>
      <c r="O22" s="271"/>
      <c r="P22" s="272">
        <f>N22*O22</f>
        <v>0</v>
      </c>
    </row>
    <row r="23" spans="1:19">
      <c r="A23" s="491" t="str">
        <f t="shared" ca="1" si="0"/>
        <v>UFB-8 Health Benefits</v>
      </c>
      <c r="B23" s="491">
        <f>ROW()</f>
        <v>23</v>
      </c>
      <c r="C23" s="491" t="str">
        <f>'Cover Page'!K6</f>
        <v>1026</v>
      </c>
      <c r="D23" s="491">
        <f>'Cover Page'!K4</f>
        <v>2016</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1026</v>
      </c>
      <c r="D24" s="491">
        <f>'Cover Page'!K4</f>
        <v>2016</v>
      </c>
      <c r="E24" s="491" t="s">
        <v>2031</v>
      </c>
      <c r="F24" s="491" t="s">
        <v>2179</v>
      </c>
      <c r="G24" s="491" t="s">
        <v>2174</v>
      </c>
      <c r="H24" s="505">
        <f>'Cover Page'!M38</f>
        <v>0</v>
      </c>
      <c r="J24" s="161" t="s">
        <v>186</v>
      </c>
      <c r="K24" s="296"/>
      <c r="L24" s="271"/>
      <c r="M24" s="272">
        <f>K24*L24</f>
        <v>0</v>
      </c>
      <c r="N24" s="296"/>
      <c r="O24" s="271"/>
      <c r="P24" s="272">
        <f>N24*O24</f>
        <v>0</v>
      </c>
    </row>
    <row r="25" spans="1:19">
      <c r="A25" s="491" t="str">
        <f t="shared" ca="1" si="0"/>
        <v>UFB-8 Health Benefits</v>
      </c>
      <c r="B25" s="491">
        <f>ROW()</f>
        <v>25</v>
      </c>
      <c r="C25" s="491" t="str">
        <f>'Cover Page'!K6</f>
        <v>1026</v>
      </c>
      <c r="D25" s="491">
        <f>'Cover Page'!K4</f>
        <v>2016</v>
      </c>
      <c r="E25" s="491" t="s">
        <v>2031</v>
      </c>
      <c r="F25" s="491" t="s">
        <v>2179</v>
      </c>
      <c r="G25" s="491" t="s">
        <v>2175</v>
      </c>
      <c r="H25" s="505">
        <f>'Cover Page'!M38</f>
        <v>0</v>
      </c>
      <c r="J25" s="161" t="s">
        <v>187</v>
      </c>
      <c r="K25" s="297"/>
      <c r="L25" s="559"/>
      <c r="M25" s="560"/>
      <c r="N25" s="297"/>
      <c r="O25" s="559"/>
      <c r="P25" s="560"/>
    </row>
    <row r="26" spans="1:19">
      <c r="A26" s="491" t="str">
        <f t="shared" ca="1" si="0"/>
        <v>UFB-8 Health Benefits</v>
      </c>
      <c r="B26" s="491">
        <f>ROW()</f>
        <v>26</v>
      </c>
      <c r="C26" s="491" t="str">
        <f>'Cover Page'!K6</f>
        <v>1026</v>
      </c>
      <c r="D26" s="491">
        <f>'Cover Page'!K4</f>
        <v>2016</v>
      </c>
      <c r="E26" s="491" t="s">
        <v>2031</v>
      </c>
      <c r="F26" s="491" t="s">
        <v>2179</v>
      </c>
      <c r="G26" s="491" t="s">
        <v>2176</v>
      </c>
      <c r="H26" s="505">
        <f>'Cover Page'!M38</f>
        <v>0</v>
      </c>
      <c r="J26" s="161" t="s">
        <v>188</v>
      </c>
      <c r="K26" s="607">
        <f>SUM(K21:K24)</f>
        <v>2</v>
      </c>
      <c r="L26" s="559"/>
      <c r="M26" s="273">
        <f>SUM(M21:M25)</f>
        <v>12970</v>
      </c>
      <c r="N26" s="607">
        <f>SUM(N21:N24)</f>
        <v>2</v>
      </c>
      <c r="O26" s="559"/>
      <c r="P26" s="273">
        <f>SUM(P21:P25)</f>
        <v>12378</v>
      </c>
    </row>
    <row r="27" spans="1:19" ht="3" customHeight="1">
      <c r="A27" s="491" t="str">
        <f t="shared" ca="1" si="0"/>
        <v>UFB-8 Health Benefits</v>
      </c>
      <c r="B27" s="491">
        <f>ROW()</f>
        <v>27</v>
      </c>
      <c r="C27" s="491" t="str">
        <f>'Cover Page'!K6</f>
        <v>1026</v>
      </c>
      <c r="D27" s="491">
        <f>'Cover Page'!K4</f>
        <v>2016</v>
      </c>
      <c r="E27" s="491" t="s">
        <v>2031</v>
      </c>
      <c r="F27" s="491" t="s">
        <v>2170</v>
      </c>
      <c r="G27" s="491" t="s">
        <v>2036</v>
      </c>
      <c r="H27" s="505">
        <f>'Cover Page'!M38</f>
        <v>0</v>
      </c>
      <c r="J27" s="168"/>
      <c r="K27" s="169"/>
      <c r="L27" s="559"/>
      <c r="M27" s="278"/>
      <c r="N27" s="169"/>
      <c r="O27" s="559"/>
      <c r="P27" s="278"/>
    </row>
    <row r="28" spans="1:19" ht="15.75" thickBot="1">
      <c r="A28" s="491" t="str">
        <f t="shared" ca="1" si="0"/>
        <v>UFB-8 Health Benefits</v>
      </c>
      <c r="B28" s="491">
        <f>ROW()</f>
        <v>28</v>
      </c>
      <c r="C28" s="491" t="str">
        <f>'Cover Page'!K6</f>
        <v>1026</v>
      </c>
      <c r="D28" s="491">
        <f>'Cover Page'!K4</f>
        <v>2016</v>
      </c>
      <c r="E28" s="491" t="s">
        <v>2031</v>
      </c>
      <c r="F28" s="491" t="s">
        <v>2180</v>
      </c>
      <c r="G28" s="491" t="s">
        <v>2181</v>
      </c>
      <c r="H28" s="505">
        <f>'Cover Page'!M38</f>
        <v>0</v>
      </c>
      <c r="J28" s="170" t="s">
        <v>191</v>
      </c>
      <c r="K28" s="608">
        <f>+K26+K18+K10</f>
        <v>17</v>
      </c>
      <c r="L28" s="559"/>
      <c r="M28" s="279">
        <f>+M26+M18+M10</f>
        <v>315100</v>
      </c>
      <c r="N28" s="608">
        <f>+N26+N18+N10</f>
        <v>17</v>
      </c>
      <c r="O28" s="559"/>
      <c r="P28" s="279">
        <f>+P26+P18+P10</f>
        <v>293111</v>
      </c>
    </row>
    <row r="29" spans="1:19" ht="15.75" thickTop="1">
      <c r="A29" s="491" t="str">
        <f t="shared" ca="1" si="0"/>
        <v>UFB-8 Health Benefits</v>
      </c>
      <c r="B29" s="491">
        <f>ROW()</f>
        <v>29</v>
      </c>
      <c r="C29" s="491" t="str">
        <f>'Cover Page'!K6</f>
        <v>1026</v>
      </c>
      <c r="D29" s="491">
        <f>'Cover Page'!K4</f>
        <v>2016</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1026</v>
      </c>
      <c r="D30" s="491">
        <f>'Cover Page'!K4</f>
        <v>2016</v>
      </c>
      <c r="E30" s="491" t="s">
        <v>2031</v>
      </c>
      <c r="F30" s="491" t="s">
        <v>121</v>
      </c>
      <c r="G30" s="491" t="s">
        <v>121</v>
      </c>
      <c r="H30" s="505">
        <f>'Cover Page'!M38</f>
        <v>0</v>
      </c>
      <c r="J30" s="731" t="s">
        <v>2297</v>
      </c>
      <c r="K30" s="731"/>
      <c r="L30" s="731"/>
      <c r="M30" s="731"/>
      <c r="S30" s="154" t="s">
        <v>290</v>
      </c>
    </row>
    <row r="31" spans="1:19" ht="20.25">
      <c r="A31" s="491" t="str">
        <f t="shared" ca="1" si="0"/>
        <v>UFB-8 Health Benefits</v>
      </c>
      <c r="B31" s="491">
        <f>ROW()</f>
        <v>31</v>
      </c>
      <c r="C31" s="491" t="str">
        <f>'Cover Page'!K6</f>
        <v>1026</v>
      </c>
      <c r="D31" s="491">
        <f>'Cover Page'!K4</f>
        <v>2016</v>
      </c>
      <c r="E31" s="491" t="s">
        <v>2031</v>
      </c>
      <c r="F31" s="491" t="s">
        <v>2184</v>
      </c>
      <c r="G31" s="491" t="s">
        <v>2182</v>
      </c>
      <c r="H31" s="505">
        <f>'Cover Page'!M38</f>
        <v>0</v>
      </c>
      <c r="J31" s="172" t="s">
        <v>192</v>
      </c>
      <c r="K31" s="173"/>
      <c r="L31" s="154"/>
      <c r="M31" s="415" t="s">
        <v>290</v>
      </c>
      <c r="S31" s="154" t="s">
        <v>291</v>
      </c>
    </row>
    <row r="32" spans="1:19" ht="20.25">
      <c r="A32" s="491" t="str">
        <f t="shared" ca="1" si="0"/>
        <v>UFB-8 Health Benefits</v>
      </c>
      <c r="B32" s="491">
        <f>ROW()</f>
        <v>32</v>
      </c>
      <c r="C32" s="491" t="str">
        <f>'Cover Page'!K6</f>
        <v>1026</v>
      </c>
      <c r="D32" s="491">
        <f>'Cover Page'!K4</f>
        <v>2016</v>
      </c>
      <c r="E32" s="491" t="s">
        <v>2031</v>
      </c>
      <c r="F32" s="491" t="s">
        <v>2184</v>
      </c>
      <c r="G32" s="491" t="s">
        <v>2183</v>
      </c>
      <c r="H32" s="505">
        <f>'Cover Page'!M38</f>
        <v>0</v>
      </c>
      <c r="J32" s="172" t="s">
        <v>193</v>
      </c>
      <c r="K32" s="173"/>
      <c r="L32" s="154"/>
      <c r="M32" s="415" t="s">
        <v>290</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30" t="s">
        <v>194</v>
      </c>
      <c r="L34" s="730"/>
      <c r="M34" s="730"/>
      <c r="N34" s="730"/>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password="C7B6"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19" workbookViewId="0">
      <selection activeCell="O31" sqref="O31"/>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1026</v>
      </c>
      <c r="D1" s="491">
        <f>'Cover Page'!K4</f>
        <v>2016</v>
      </c>
      <c r="E1" s="491" t="s">
        <v>2031</v>
      </c>
      <c r="F1" s="491" t="s">
        <v>2185</v>
      </c>
      <c r="G1" s="491"/>
      <c r="H1" s="505">
        <f>'Cover Page'!M38</f>
        <v>0</v>
      </c>
      <c r="J1" s="685" t="s">
        <v>0</v>
      </c>
      <c r="K1" s="685"/>
      <c r="L1" s="685"/>
      <c r="M1" s="685"/>
      <c r="N1" s="685"/>
      <c r="O1" s="685"/>
      <c r="P1" s="685"/>
    </row>
    <row r="2" spans="1:16" ht="18.75">
      <c r="A2" s="491" t="str">
        <f ca="1">MID(CELL("filename",A2),FIND("]",CELL("filename",A2))+1,256)</f>
        <v>UFB-9 Accum. Absence Liability</v>
      </c>
      <c r="B2" s="491">
        <f>ROW()</f>
        <v>2</v>
      </c>
      <c r="C2" s="491" t="str">
        <f>'Cover Page'!K6</f>
        <v>1026</v>
      </c>
      <c r="D2" s="491">
        <f>'Cover Page'!K4</f>
        <v>2016</v>
      </c>
      <c r="E2" s="491" t="s">
        <v>2031</v>
      </c>
      <c r="F2" s="491" t="s">
        <v>2185</v>
      </c>
      <c r="G2" s="491" t="s">
        <v>121</v>
      </c>
      <c r="H2" s="505">
        <f>'Cover Page'!M38</f>
        <v>0</v>
      </c>
      <c r="J2" s="729" t="s">
        <v>2295</v>
      </c>
      <c r="K2" s="729"/>
      <c r="L2" s="729"/>
      <c r="M2" s="729"/>
      <c r="N2" s="729"/>
      <c r="O2" s="729"/>
      <c r="P2" s="729"/>
    </row>
    <row r="3" spans="1:16" s="176" customFormat="1">
      <c r="A3" s="491" t="str">
        <f t="shared" ref="A3:A41" ca="1" si="0">MID(CELL("filename",A3),FIND("]",CELL("filename",A3))+1,256)</f>
        <v>UFB-9 Accum. Absence Liability</v>
      </c>
      <c r="B3" s="491">
        <f>ROW()</f>
        <v>3</v>
      </c>
      <c r="C3" s="491" t="str">
        <f>'Cover Page'!K6</f>
        <v>1026</v>
      </c>
      <c r="D3" s="491">
        <f>'Cover Page'!K4</f>
        <v>2016</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1026</v>
      </c>
      <c r="D4" s="491">
        <f>'Cover Page'!K4</f>
        <v>2016</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1026</v>
      </c>
      <c r="D5" s="491">
        <f>'Cover Page'!K4</f>
        <v>2016</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1026</v>
      </c>
      <c r="D6" s="491">
        <f>'Cover Page'!K4</f>
        <v>2016</v>
      </c>
      <c r="E6" s="491" t="s">
        <v>2031</v>
      </c>
      <c r="F6" s="491" t="s">
        <v>2185</v>
      </c>
      <c r="G6" s="491" t="s">
        <v>2186</v>
      </c>
      <c r="H6" s="505">
        <f>'Cover Page'!M38</f>
        <v>0</v>
      </c>
      <c r="K6" s="416" t="s">
        <v>2339</v>
      </c>
      <c r="L6" s="417">
        <v>33</v>
      </c>
      <c r="M6" s="418">
        <v>12265</v>
      </c>
      <c r="N6" s="419"/>
      <c r="O6" s="419"/>
      <c r="P6" s="419" t="s">
        <v>2340</v>
      </c>
    </row>
    <row r="7" spans="1:16" ht="15">
      <c r="A7" s="491" t="str">
        <f t="shared" ca="1" si="0"/>
        <v>UFB-9 Accum. Absence Liability</v>
      </c>
      <c r="B7" s="491">
        <f>ROW()</f>
        <v>7</v>
      </c>
      <c r="C7" s="491" t="str">
        <f>'Cover Page'!K6</f>
        <v>1026</v>
      </c>
      <c r="D7" s="491">
        <f>'Cover Page'!K4</f>
        <v>2016</v>
      </c>
      <c r="E7" s="491" t="s">
        <v>2031</v>
      </c>
      <c r="F7" s="491" t="s">
        <v>2185</v>
      </c>
      <c r="G7" s="491" t="s">
        <v>2186</v>
      </c>
      <c r="H7" s="505">
        <f>'Cover Page'!M38</f>
        <v>0</v>
      </c>
      <c r="K7" s="420" t="s">
        <v>2339</v>
      </c>
      <c r="L7" s="417">
        <v>240</v>
      </c>
      <c r="M7" s="418">
        <v>71139</v>
      </c>
      <c r="N7" s="419" t="s">
        <v>2340</v>
      </c>
      <c r="O7" s="419"/>
      <c r="P7" s="419"/>
    </row>
    <row r="8" spans="1:16" ht="15">
      <c r="A8" s="491" t="str">
        <f ca="1">MID(CELL("filename",A8),FIND("]",CELL("filename",A8))+1,256)</f>
        <v>UFB-9 Accum. Absence Liability</v>
      </c>
      <c r="B8" s="491">
        <f>ROW()</f>
        <v>8</v>
      </c>
      <c r="C8" s="491" t="str">
        <f>'Cover Page'!K6</f>
        <v>1026</v>
      </c>
      <c r="D8" s="491">
        <f>'Cover Page'!K4</f>
        <v>2016</v>
      </c>
      <c r="E8" s="491" t="s">
        <v>2031</v>
      </c>
      <c r="F8" s="491" t="s">
        <v>2185</v>
      </c>
      <c r="G8" s="491" t="s">
        <v>2186</v>
      </c>
      <c r="H8" s="505">
        <f>'Cover Page'!M38</f>
        <v>0</v>
      </c>
      <c r="K8" s="416"/>
      <c r="L8" s="417"/>
      <c r="M8" s="418"/>
      <c r="N8" s="419"/>
      <c r="O8" s="419"/>
      <c r="P8" s="419"/>
    </row>
    <row r="9" spans="1:16" ht="15">
      <c r="A9" s="491" t="str">
        <f ca="1">MID(CELL("filename",A9),FIND("]",CELL("filename",A9))+1,256)</f>
        <v>UFB-9 Accum. Absence Liability</v>
      </c>
      <c r="B9" s="491">
        <f>ROW()</f>
        <v>9</v>
      </c>
      <c r="C9" s="491" t="str">
        <f>'Cover Page'!K6</f>
        <v>1026</v>
      </c>
      <c r="D9" s="491">
        <f>'Cover Page'!K4</f>
        <v>2016</v>
      </c>
      <c r="E9" s="491" t="s">
        <v>2031</v>
      </c>
      <c r="F9" s="491" t="s">
        <v>2185</v>
      </c>
      <c r="G9" s="491" t="s">
        <v>2186</v>
      </c>
      <c r="H9" s="505">
        <f>'Cover Page'!M38</f>
        <v>0</v>
      </c>
      <c r="K9" s="416"/>
      <c r="L9" s="417"/>
      <c r="M9" s="418"/>
      <c r="N9" s="419"/>
      <c r="O9" s="419"/>
      <c r="P9" s="419"/>
    </row>
    <row r="10" spans="1:16" ht="15">
      <c r="A10" s="491" t="str">
        <f ca="1">MID(CELL("filename",A10),FIND("]",CELL("filename",A10))+1,256)</f>
        <v>UFB-9 Accum. Absence Liability</v>
      </c>
      <c r="B10" s="491">
        <f>ROW()</f>
        <v>10</v>
      </c>
      <c r="C10" s="491" t="str">
        <f>'Cover Page'!K6</f>
        <v>1026</v>
      </c>
      <c r="D10" s="491">
        <f>'Cover Page'!K4</f>
        <v>2016</v>
      </c>
      <c r="E10" s="491" t="s">
        <v>2031</v>
      </c>
      <c r="F10" s="491" t="s">
        <v>2185</v>
      </c>
      <c r="G10" s="491" t="s">
        <v>2186</v>
      </c>
      <c r="H10" s="505">
        <f>'Cover Page'!M38</f>
        <v>0</v>
      </c>
      <c r="K10" s="416"/>
      <c r="L10" s="417"/>
      <c r="M10" s="418"/>
      <c r="N10" s="419"/>
      <c r="O10" s="419"/>
      <c r="P10" s="419"/>
    </row>
    <row r="11" spans="1:16" ht="15">
      <c r="A11" s="491" t="str">
        <f ca="1">MID(CELL("filename",A11),FIND("]",CELL("filename",A11))+1,256)</f>
        <v>UFB-9 Accum. Absence Liability</v>
      </c>
      <c r="B11" s="491">
        <f>ROW()</f>
        <v>11</v>
      </c>
      <c r="C11" s="491" t="str">
        <f>'Cover Page'!K6</f>
        <v>1026</v>
      </c>
      <c r="D11" s="491">
        <f>'Cover Page'!K4</f>
        <v>2016</v>
      </c>
      <c r="E11" s="491" t="s">
        <v>2031</v>
      </c>
      <c r="F11" s="491" t="s">
        <v>2185</v>
      </c>
      <c r="G11" s="491" t="s">
        <v>2186</v>
      </c>
      <c r="H11" s="505">
        <f>'Cover Page'!M38</f>
        <v>0</v>
      </c>
      <c r="K11" s="416"/>
      <c r="L11" s="417"/>
      <c r="M11" s="418"/>
      <c r="N11" s="419"/>
      <c r="O11" s="419"/>
      <c r="P11" s="419"/>
    </row>
    <row r="12" spans="1:16" ht="15">
      <c r="A12" s="491" t="str">
        <f t="shared" ca="1" si="0"/>
        <v>UFB-9 Accum. Absence Liability</v>
      </c>
      <c r="B12" s="491">
        <f>ROW()</f>
        <v>12</v>
      </c>
      <c r="C12" s="491" t="str">
        <f>'Cover Page'!K6</f>
        <v>1026</v>
      </c>
      <c r="D12" s="491">
        <f>'Cover Page'!K4</f>
        <v>2016</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1026</v>
      </c>
      <c r="D13" s="491">
        <f>'Cover Page'!K4</f>
        <v>2016</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1026</v>
      </c>
      <c r="D14" s="491">
        <f>'Cover Page'!K4</f>
        <v>2016</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1026</v>
      </c>
      <c r="D15" s="491">
        <f>'Cover Page'!K4</f>
        <v>2016</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1026</v>
      </c>
      <c r="D16" s="491">
        <f>'Cover Page'!K4</f>
        <v>2016</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1026</v>
      </c>
      <c r="D17" s="491">
        <f>'Cover Page'!K4</f>
        <v>2016</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1026</v>
      </c>
      <c r="D18" s="491">
        <f>'Cover Page'!K4</f>
        <v>2016</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1026</v>
      </c>
      <c r="D19" s="491">
        <f>'Cover Page'!K4</f>
        <v>2016</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31"/>
      <c r="L20" s="632"/>
      <c r="M20" s="633"/>
      <c r="N20" s="634"/>
      <c r="O20" s="634"/>
      <c r="P20" s="634"/>
    </row>
    <row r="21" spans="1:16" ht="15">
      <c r="A21" s="491"/>
      <c r="B21" s="491"/>
      <c r="C21" s="491"/>
      <c r="D21" s="491"/>
      <c r="E21" s="491"/>
      <c r="F21" s="491"/>
      <c r="G21" s="491"/>
      <c r="H21" s="505"/>
      <c r="K21" s="631"/>
      <c r="L21" s="632"/>
      <c r="M21" s="633"/>
      <c r="N21" s="634"/>
      <c r="O21" s="634"/>
      <c r="P21" s="634"/>
    </row>
    <row r="22" spans="1:16" ht="15">
      <c r="A22" s="491"/>
      <c r="B22" s="491"/>
      <c r="C22" s="491"/>
      <c r="D22" s="491"/>
      <c r="E22" s="491"/>
      <c r="F22" s="491"/>
      <c r="G22" s="491"/>
      <c r="H22" s="505"/>
      <c r="K22" s="631"/>
      <c r="L22" s="632"/>
      <c r="M22" s="633"/>
      <c r="N22" s="634"/>
      <c r="O22" s="634"/>
      <c r="P22" s="634"/>
    </row>
    <row r="23" spans="1:16" ht="15">
      <c r="A23" s="491"/>
      <c r="B23" s="491"/>
      <c r="C23" s="491"/>
      <c r="D23" s="491"/>
      <c r="E23" s="491"/>
      <c r="F23" s="491"/>
      <c r="G23" s="491"/>
      <c r="H23" s="505"/>
      <c r="K23" s="631"/>
      <c r="L23" s="632"/>
      <c r="M23" s="633"/>
      <c r="N23" s="634"/>
      <c r="O23" s="634"/>
      <c r="P23" s="634"/>
    </row>
    <row r="24" spans="1:16" ht="15">
      <c r="A24" s="491"/>
      <c r="B24" s="491"/>
      <c r="C24" s="491"/>
      <c r="D24" s="491"/>
      <c r="E24" s="491"/>
      <c r="F24" s="491"/>
      <c r="G24" s="491"/>
      <c r="H24" s="505"/>
      <c r="K24" s="631"/>
      <c r="L24" s="632"/>
      <c r="M24" s="633"/>
      <c r="N24" s="634"/>
      <c r="O24" s="634"/>
      <c r="P24" s="634"/>
    </row>
    <row r="25" spans="1:16" ht="15">
      <c r="A25" s="491"/>
      <c r="B25" s="491"/>
      <c r="C25" s="491"/>
      <c r="D25" s="491"/>
      <c r="E25" s="491"/>
      <c r="F25" s="491"/>
      <c r="G25" s="491"/>
      <c r="H25" s="505"/>
      <c r="K25" s="631"/>
      <c r="L25" s="632"/>
      <c r="M25" s="633"/>
      <c r="N25" s="634"/>
      <c r="O25" s="634"/>
      <c r="P25" s="634"/>
    </row>
    <row r="26" spans="1:16" ht="15">
      <c r="A26" s="491"/>
      <c r="B26" s="491"/>
      <c r="C26" s="491"/>
      <c r="D26" s="491"/>
      <c r="E26" s="491"/>
      <c r="F26" s="491"/>
      <c r="G26" s="491"/>
      <c r="H26" s="505"/>
      <c r="K26" s="631"/>
      <c r="L26" s="632"/>
      <c r="M26" s="633"/>
      <c r="N26" s="634"/>
      <c r="O26" s="634"/>
      <c r="P26" s="634"/>
    </row>
    <row r="27" spans="1:16" ht="15">
      <c r="A27" s="491"/>
      <c r="B27" s="491"/>
      <c r="C27" s="491"/>
      <c r="D27" s="491"/>
      <c r="E27" s="491"/>
      <c r="F27" s="491"/>
      <c r="G27" s="491"/>
      <c r="H27" s="505"/>
      <c r="K27" s="631"/>
      <c r="L27" s="632"/>
      <c r="M27" s="633"/>
      <c r="N27" s="634"/>
      <c r="O27" s="634"/>
      <c r="P27" s="634"/>
    </row>
    <row r="28" spans="1:16" ht="15">
      <c r="A28" s="491"/>
      <c r="B28" s="491"/>
      <c r="C28" s="491"/>
      <c r="D28" s="491"/>
      <c r="E28" s="491"/>
      <c r="F28" s="491"/>
      <c r="G28" s="491"/>
      <c r="H28" s="505"/>
      <c r="K28" s="631"/>
      <c r="L28" s="632"/>
      <c r="M28" s="633"/>
      <c r="N28" s="634"/>
      <c r="O28" s="634"/>
      <c r="P28" s="634"/>
    </row>
    <row r="29" spans="1:16" ht="15">
      <c r="A29" s="491"/>
      <c r="B29" s="491"/>
      <c r="C29" s="491"/>
      <c r="D29" s="491"/>
      <c r="E29" s="491"/>
      <c r="F29" s="491"/>
      <c r="G29" s="491"/>
      <c r="H29" s="505"/>
      <c r="K29" s="631"/>
      <c r="L29" s="632"/>
      <c r="M29" s="633"/>
      <c r="N29" s="634"/>
      <c r="O29" s="634"/>
      <c r="P29" s="634"/>
    </row>
    <row r="30" spans="1:16" ht="15">
      <c r="A30" s="491"/>
      <c r="B30" s="491"/>
      <c r="C30" s="491"/>
      <c r="D30" s="491"/>
      <c r="E30" s="491"/>
      <c r="F30" s="491"/>
      <c r="G30" s="491"/>
      <c r="H30" s="505"/>
      <c r="K30" s="631"/>
      <c r="L30" s="632"/>
      <c r="M30" s="633"/>
      <c r="N30" s="634"/>
      <c r="O30" s="634"/>
      <c r="P30" s="634"/>
    </row>
    <row r="31" spans="1:16" ht="15">
      <c r="A31" s="491"/>
      <c r="B31" s="491"/>
      <c r="C31" s="491"/>
      <c r="D31" s="491"/>
      <c r="E31" s="491"/>
      <c r="F31" s="491"/>
      <c r="G31" s="491"/>
      <c r="H31" s="505"/>
      <c r="K31" s="631"/>
      <c r="L31" s="632"/>
      <c r="M31" s="633"/>
      <c r="N31" s="634"/>
      <c r="O31" s="634"/>
      <c r="P31" s="634"/>
    </row>
    <row r="32" spans="1:16" ht="15">
      <c r="A32" s="491" t="str">
        <f t="shared" ca="1" si="0"/>
        <v>UFB-9 Accum. Absence Liability</v>
      </c>
      <c r="B32" s="491">
        <f>ROW()</f>
        <v>32</v>
      </c>
      <c r="C32" s="491" t="str">
        <f>'Cover Page'!K6</f>
        <v>1026</v>
      </c>
      <c r="D32" s="491">
        <f>'Cover Page'!K4</f>
        <v>2016</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1026</v>
      </c>
      <c r="D33" s="491">
        <f>'Cover Page'!K4</f>
        <v>2016</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1026</v>
      </c>
      <c r="D34" s="491">
        <f>'Cover Page'!K4</f>
        <v>2016</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1026</v>
      </c>
      <c r="D35" s="491">
        <f>'Cover Page'!K4</f>
        <v>2016</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1026</v>
      </c>
      <c r="D36" s="491">
        <f>'Cover Page'!K4</f>
        <v>2016</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1026</v>
      </c>
      <c r="D37" s="491">
        <f>'Cover Page'!K4</f>
        <v>2016</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1026</v>
      </c>
      <c r="D38" s="491">
        <f>'Cover Page'!K4</f>
        <v>2016</v>
      </c>
      <c r="E38" s="491" t="s">
        <v>2031</v>
      </c>
      <c r="F38" s="491" t="s">
        <v>2185</v>
      </c>
      <c r="G38" s="491" t="s">
        <v>2187</v>
      </c>
      <c r="H38" s="505">
        <f>'Cover Page'!M38</f>
        <v>0</v>
      </c>
      <c r="K38" s="282" t="s">
        <v>175</v>
      </c>
      <c r="L38" s="281">
        <f>SUM(L6:L37)</f>
        <v>273</v>
      </c>
      <c r="M38" s="280">
        <f>SUM(M6:M37)</f>
        <v>83404</v>
      </c>
      <c r="N38" s="284"/>
      <c r="O38" s="283"/>
      <c r="P38" s="283"/>
    </row>
    <row r="39" spans="1:16">
      <c r="A39" s="491" t="str">
        <f t="shared" ca="1" si="0"/>
        <v>UFB-9 Accum. Absence Liability</v>
      </c>
      <c r="B39" s="491">
        <f>ROW()</f>
        <v>39</v>
      </c>
      <c r="C39" s="491" t="str">
        <f>'Cover Page'!K6</f>
        <v>1026</v>
      </c>
      <c r="D39" s="491">
        <f>'Cover Page'!K4</f>
        <v>2016</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1026</v>
      </c>
      <c r="D40" s="491">
        <f>'Cover Page'!K4</f>
        <v>2016</v>
      </c>
      <c r="E40" s="491" t="s">
        <v>2031</v>
      </c>
      <c r="F40" s="491" t="s">
        <v>2185</v>
      </c>
      <c r="G40" s="491" t="s">
        <v>2189</v>
      </c>
      <c r="H40" s="505">
        <f>'Cover Page'!M38</f>
        <v>0</v>
      </c>
      <c r="K40" s="186"/>
      <c r="L40" s="187" t="str">
        <f>"Total Funds Reserved as of end of "&amp;'Cover Page'!K4-1</f>
        <v>Total Funds Reserved as of end of 2015</v>
      </c>
      <c r="M40" s="425">
        <v>0</v>
      </c>
    </row>
    <row r="41" spans="1:16">
      <c r="A41" s="491" t="str">
        <f t="shared" ca="1" si="0"/>
        <v>UFB-9 Accum. Absence Liability</v>
      </c>
      <c r="B41" s="491">
        <f>ROW()</f>
        <v>41</v>
      </c>
      <c r="C41" s="491" t="str">
        <f>'Cover Page'!K6</f>
        <v>1026</v>
      </c>
      <c r="D41" s="491">
        <f>'Cover Page'!K4</f>
        <v>2016</v>
      </c>
      <c r="E41" s="491" t="s">
        <v>2031</v>
      </c>
      <c r="F41" s="491" t="s">
        <v>2185</v>
      </c>
      <c r="G41" s="491" t="s">
        <v>2188</v>
      </c>
      <c r="H41" s="505">
        <f>'Cover Page'!M38</f>
        <v>0</v>
      </c>
      <c r="K41" s="188"/>
      <c r="L41" s="187" t="str">
        <f>"Total Funds Appropriated in "&amp;'Cover Page'!K4</f>
        <v>Total Funds Appropriated in 2016</v>
      </c>
      <c r="M41" s="425">
        <v>0</v>
      </c>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password="C7B6" sheet="1" objects="1" scenarios="1"/>
  <mergeCells count="2">
    <mergeCell ref="J1:P1"/>
    <mergeCell ref="J2:P2"/>
  </mergeCells>
  <printOptions horizontalCentered="1" verticalCentered="1"/>
  <pageMargins left="0.2" right="0.2" top="0.25" bottom="0.25" header="0.3" footer="0.3"/>
  <pageSetup paperSize="5" scale="93"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K1" workbookViewId="0">
      <selection activeCell="S14" sqref="S14"/>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1026</v>
      </c>
      <c r="D1" s="491">
        <f>'Cover Page'!K4</f>
        <v>2016</v>
      </c>
      <c r="E1" s="491" t="s">
        <v>2031</v>
      </c>
      <c r="F1" s="491" t="s">
        <v>2190</v>
      </c>
      <c r="G1" s="491"/>
      <c r="H1" s="505">
        <f>'Cover Page'!M38</f>
        <v>0</v>
      </c>
      <c r="J1" s="685" t="s">
        <v>272</v>
      </c>
      <c r="K1" s="685"/>
      <c r="L1" s="685"/>
      <c r="M1" s="685"/>
      <c r="N1" s="685"/>
      <c r="O1" s="685"/>
      <c r="P1" s="685"/>
      <c r="Q1" s="685"/>
      <c r="R1" s="685"/>
      <c r="S1" s="685"/>
    </row>
    <row r="2" spans="1:19" s="41" customFormat="1" ht="15.75">
      <c r="A2" s="491" t="str">
        <f ca="1">MID(CELL("filename",A2),FIND("]",CELL("filename",A2))+1,256)</f>
        <v>UFB-10 Debt</v>
      </c>
      <c r="B2" s="491">
        <f>ROW()</f>
        <v>2</v>
      </c>
      <c r="C2" s="491" t="str">
        <f>'Cover Page'!K6</f>
        <v>1026</v>
      </c>
      <c r="D2" s="491">
        <f>'Cover Page'!K4</f>
        <v>2016</v>
      </c>
      <c r="E2" s="491" t="s">
        <v>2031</v>
      </c>
      <c r="F2" s="491" t="s">
        <v>2190</v>
      </c>
      <c r="G2" s="491" t="s">
        <v>121</v>
      </c>
      <c r="H2" s="505">
        <f>'Cover Page'!M38</f>
        <v>0</v>
      </c>
      <c r="J2" s="374"/>
      <c r="K2" s="375" t="s">
        <v>213</v>
      </c>
      <c r="L2" s="375"/>
      <c r="M2" s="375" t="s">
        <v>214</v>
      </c>
      <c r="N2" s="376"/>
      <c r="O2" s="377"/>
      <c r="P2" s="378" t="s">
        <v>30</v>
      </c>
      <c r="Q2" s="564" t="str">
        <f>""&amp;'Cover Page'!K4+1</f>
        <v>2017</v>
      </c>
      <c r="R2" s="564" t="str">
        <f>""&amp;'Cover Page'!K4+2&amp;" "</f>
        <v xml:space="preserve">2018 </v>
      </c>
      <c r="S2" s="379" t="s">
        <v>215</v>
      </c>
    </row>
    <row r="3" spans="1:19" s="41" customFormat="1" ht="15.75">
      <c r="A3" s="491" t="str">
        <f t="shared" ref="A3:A34" ca="1" si="0">MID(CELL("filename",A3),FIND("]",CELL("filename",A3))+1,256)</f>
        <v>UFB-10 Debt</v>
      </c>
      <c r="B3" s="491">
        <f>ROW()</f>
        <v>3</v>
      </c>
      <c r="C3" s="491" t="str">
        <f>'Cover Page'!K6</f>
        <v>1026</v>
      </c>
      <c r="D3" s="491">
        <f>'Cover Page'!K4</f>
        <v>2016</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1026</v>
      </c>
      <c r="D4" s="491">
        <f>'Cover Page'!K4</f>
        <v>2016</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1026</v>
      </c>
      <c r="D5" s="491">
        <f>'Cover Page'!K4</f>
        <v>2016</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1026</v>
      </c>
      <c r="D6" s="491">
        <f>'Cover Page'!K4</f>
        <v>2016</v>
      </c>
      <c r="E6" s="491" t="s">
        <v>2031</v>
      </c>
      <c r="F6" s="491" t="s">
        <v>2190</v>
      </c>
      <c r="G6" s="491" t="s">
        <v>2071</v>
      </c>
      <c r="H6" s="505">
        <f>'Cover Page'!M38</f>
        <v>0</v>
      </c>
      <c r="I6" s="1" t="s">
        <v>2202</v>
      </c>
      <c r="J6" s="26" t="s">
        <v>218</v>
      </c>
      <c r="K6" s="285"/>
      <c r="L6" s="285"/>
      <c r="M6" s="426">
        <f>K6-L6</f>
        <v>0</v>
      </c>
      <c r="N6" s="221"/>
      <c r="O6" s="26" t="s">
        <v>219</v>
      </c>
      <c r="P6" s="285"/>
      <c r="Q6" s="285"/>
      <c r="R6" s="285"/>
      <c r="S6" s="285"/>
    </row>
    <row r="7" spans="1:19" ht="15.75">
      <c r="A7" s="491" t="str">
        <f t="shared" ca="1" si="0"/>
        <v>UFB-10 Debt</v>
      </c>
      <c r="B7" s="491">
        <f>ROW()</f>
        <v>7</v>
      </c>
      <c r="C7" s="491" t="str">
        <f>'Cover Page'!K6</f>
        <v>1026</v>
      </c>
      <c r="D7" s="491">
        <f>'Cover Page'!K4</f>
        <v>2016</v>
      </c>
      <c r="E7" s="491" t="s">
        <v>2031</v>
      </c>
      <c r="F7" s="491" t="s">
        <v>2190</v>
      </c>
      <c r="G7" s="491" t="s">
        <v>2072</v>
      </c>
      <c r="H7" s="505">
        <f>'Cover Page'!M38</f>
        <v>0</v>
      </c>
      <c r="I7" s="1" t="s">
        <v>2203</v>
      </c>
      <c r="J7" s="26" t="s">
        <v>220</v>
      </c>
      <c r="K7" s="285">
        <v>5646972</v>
      </c>
      <c r="L7" s="285">
        <v>5646972</v>
      </c>
      <c r="M7" s="426">
        <f>K7-L7</f>
        <v>0</v>
      </c>
      <c r="N7" s="221"/>
      <c r="O7" s="26" t="s">
        <v>221</v>
      </c>
      <c r="P7" s="285"/>
      <c r="Q7" s="285"/>
      <c r="R7" s="285"/>
      <c r="S7" s="285"/>
    </row>
    <row r="8" spans="1:19" ht="15.75">
      <c r="A8" s="491" t="str">
        <f t="shared" ca="1" si="0"/>
        <v>UFB-10 Debt</v>
      </c>
      <c r="B8" s="491">
        <f>ROW()</f>
        <v>8</v>
      </c>
      <c r="C8" s="491" t="str">
        <f>'Cover Page'!K6</f>
        <v>1026</v>
      </c>
      <c r="D8" s="491">
        <f>'Cover Page'!K4</f>
        <v>2016</v>
      </c>
      <c r="E8" s="491" t="s">
        <v>2031</v>
      </c>
      <c r="F8" s="491" t="s">
        <v>2190</v>
      </c>
      <c r="G8" s="491" t="s">
        <v>121</v>
      </c>
      <c r="H8" s="505">
        <f>'Cover Page'!M38</f>
        <v>0</v>
      </c>
      <c r="I8" s="1" t="s">
        <v>2204</v>
      </c>
      <c r="J8" s="26"/>
      <c r="K8" s="286"/>
      <c r="L8" s="286"/>
      <c r="M8" s="286"/>
      <c r="N8" s="221"/>
      <c r="O8" s="26" t="s">
        <v>222</v>
      </c>
      <c r="P8" s="285">
        <v>120282</v>
      </c>
      <c r="Q8" s="666"/>
      <c r="R8" s="666"/>
      <c r="S8" s="666"/>
    </row>
    <row r="9" spans="1:19" ht="15.75">
      <c r="A9" s="491" t="str">
        <f t="shared" ca="1" si="0"/>
        <v>UFB-10 Debt</v>
      </c>
      <c r="B9" s="491">
        <f>ROW()</f>
        <v>9</v>
      </c>
      <c r="C9" s="491" t="str">
        <f>'Cover Page'!K6</f>
        <v>1026</v>
      </c>
      <c r="D9" s="491">
        <f>'Cover Page'!K4</f>
        <v>2016</v>
      </c>
      <c r="E9" s="491" t="s">
        <v>2031</v>
      </c>
      <c r="F9" s="491" t="s">
        <v>2190</v>
      </c>
      <c r="G9" s="491" t="s">
        <v>121</v>
      </c>
      <c r="H9" s="505">
        <f>'Cover Page'!M38</f>
        <v>0</v>
      </c>
      <c r="I9" s="1" t="s">
        <v>2205</v>
      </c>
      <c r="J9" s="26" t="s">
        <v>223</v>
      </c>
      <c r="K9" s="286"/>
      <c r="L9" s="286"/>
      <c r="M9" s="286"/>
      <c r="N9" s="221"/>
      <c r="O9" s="26" t="s">
        <v>224</v>
      </c>
      <c r="P9" s="285">
        <v>7700</v>
      </c>
      <c r="Q9" s="666"/>
      <c r="R9" s="666"/>
      <c r="S9" s="666"/>
    </row>
    <row r="10" spans="1:19" ht="15.75">
      <c r="A10" s="491" t="str">
        <f t="shared" ref="A10:A15" ca="1" si="1">MID(CELL("filename",A10),FIND("]",CELL("filename",A10))+1,256)</f>
        <v>UFB-10 Debt</v>
      </c>
      <c r="B10" s="491">
        <f>ROW()</f>
        <v>10</v>
      </c>
      <c r="C10" s="491" t="str">
        <f>'Cover Page'!K6</f>
        <v>1026</v>
      </c>
      <c r="D10" s="491">
        <f>'Cover Page'!K4</f>
        <v>2016</v>
      </c>
      <c r="E10" s="491" t="s">
        <v>2031</v>
      </c>
      <c r="F10" s="491" t="s">
        <v>2190</v>
      </c>
      <c r="G10" s="491" t="s">
        <v>2191</v>
      </c>
      <c r="H10" s="505">
        <f>'Cover Page'!M38</f>
        <v>0</v>
      </c>
      <c r="I10" s="1" t="s">
        <v>2206</v>
      </c>
      <c r="J10" s="636">
        <f>'UFB-2 Revenue Summary'!T3</f>
        <v>0</v>
      </c>
      <c r="K10" s="285"/>
      <c r="L10" s="285"/>
      <c r="M10" s="426">
        <f t="shared" ref="M10:M15" si="2">K10-L10</f>
        <v>0</v>
      </c>
      <c r="N10" s="221"/>
      <c r="O10" s="26" t="s">
        <v>225</v>
      </c>
      <c r="P10" s="285">
        <v>430000</v>
      </c>
      <c r="Q10" s="285">
        <v>425000</v>
      </c>
      <c r="R10" s="285">
        <v>210000</v>
      </c>
      <c r="S10" s="285">
        <v>1715000</v>
      </c>
    </row>
    <row r="11" spans="1:19" ht="15" customHeight="1">
      <c r="A11" s="491" t="str">
        <f t="shared" ca="1" si="1"/>
        <v>UFB-10 Debt</v>
      </c>
      <c r="B11" s="491">
        <f>ROW()</f>
        <v>11</v>
      </c>
      <c r="C11" s="491" t="str">
        <f>'Cover Page'!K6</f>
        <v>1026</v>
      </c>
      <c r="D11" s="491">
        <f>'Cover Page'!K4</f>
        <v>2016</v>
      </c>
      <c r="E11" s="491" t="s">
        <v>2031</v>
      </c>
      <c r="F11" s="491" t="s">
        <v>2190</v>
      </c>
      <c r="G11" s="491" t="s">
        <v>2191</v>
      </c>
      <c r="H11" s="505">
        <f>'Cover Page'!M38</f>
        <v>0</v>
      </c>
      <c r="I11" s="1" t="s">
        <v>2207</v>
      </c>
      <c r="J11" s="636">
        <f>'UFB-2 Revenue Summary'!U3</f>
        <v>0</v>
      </c>
      <c r="K11" s="285"/>
      <c r="L11" s="285"/>
      <c r="M11" s="426">
        <f t="shared" si="2"/>
        <v>0</v>
      </c>
      <c r="N11" s="31"/>
      <c r="O11" s="26" t="s">
        <v>226</v>
      </c>
      <c r="P11" s="285">
        <v>71675</v>
      </c>
      <c r="Q11" s="285">
        <v>61235</v>
      </c>
      <c r="R11" s="285">
        <v>53625</v>
      </c>
      <c r="S11" s="285">
        <v>193420</v>
      </c>
    </row>
    <row r="12" spans="1:19" ht="15.75">
      <c r="A12" s="491" t="str">
        <f t="shared" ca="1" si="1"/>
        <v>UFB-10 Debt</v>
      </c>
      <c r="B12" s="491">
        <f>ROW()</f>
        <v>12</v>
      </c>
      <c r="C12" s="491" t="str">
        <f>'Cover Page'!K6</f>
        <v>1026</v>
      </c>
      <c r="D12" s="491">
        <f>'Cover Page'!K4</f>
        <v>2016</v>
      </c>
      <c r="E12" s="491" t="s">
        <v>2031</v>
      </c>
      <c r="F12" s="491" t="s">
        <v>2190</v>
      </c>
      <c r="G12" s="491" t="s">
        <v>2191</v>
      </c>
      <c r="H12" s="505">
        <f>'Cover Page'!M38</f>
        <v>0</v>
      </c>
      <c r="I12" s="1" t="s">
        <v>2208</v>
      </c>
      <c r="J12" s="637">
        <f>'UFB-2 Revenue Summary'!V3</f>
        <v>0</v>
      </c>
      <c r="K12" s="285"/>
      <c r="L12" s="285"/>
      <c r="M12" s="426">
        <f t="shared" si="2"/>
        <v>0</v>
      </c>
      <c r="N12" s="221"/>
      <c r="O12" s="26" t="s">
        <v>227</v>
      </c>
      <c r="P12" s="285">
        <v>28007</v>
      </c>
      <c r="Q12" s="285">
        <v>28570</v>
      </c>
      <c r="R12" s="285">
        <v>29145</v>
      </c>
      <c r="S12" s="285">
        <v>75451</v>
      </c>
    </row>
    <row r="13" spans="1:19" ht="15.75">
      <c r="A13" s="491" t="str">
        <f t="shared" ca="1" si="1"/>
        <v>UFB-10 Debt</v>
      </c>
      <c r="B13" s="491">
        <f>ROW()</f>
        <v>13</v>
      </c>
      <c r="C13" s="491" t="str">
        <f>'Cover Page'!K6</f>
        <v>1026</v>
      </c>
      <c r="D13" s="491">
        <f>'Cover Page'!K4</f>
        <v>2016</v>
      </c>
      <c r="E13" s="491" t="s">
        <v>2031</v>
      </c>
      <c r="F13" s="491" t="s">
        <v>2190</v>
      </c>
      <c r="G13" s="491" t="s">
        <v>2035</v>
      </c>
      <c r="H13" s="505">
        <f>'Cover Page'!M36</f>
        <v>0</v>
      </c>
      <c r="I13" s="1" t="s">
        <v>2209</v>
      </c>
      <c r="J13" s="637">
        <f>'UFB-2 Revenue Summary'!W3</f>
        <v>0</v>
      </c>
      <c r="K13" s="285"/>
      <c r="L13" s="285"/>
      <c r="M13" s="426">
        <f t="shared" si="2"/>
        <v>0</v>
      </c>
      <c r="N13" s="221"/>
      <c r="O13" s="26" t="s">
        <v>228</v>
      </c>
      <c r="P13" s="285">
        <v>3085</v>
      </c>
      <c r="Q13" s="285">
        <v>2522</v>
      </c>
      <c r="R13" s="285">
        <v>1947</v>
      </c>
      <c r="S13" s="285">
        <v>2279</v>
      </c>
    </row>
    <row r="14" spans="1:19" ht="15.75">
      <c r="A14" s="491" t="str">
        <f t="shared" ca="1" si="1"/>
        <v>UFB-10 Debt</v>
      </c>
      <c r="B14" s="491">
        <f>ROW()</f>
        <v>14</v>
      </c>
      <c r="C14" s="491" t="str">
        <f>'Cover Page'!K6</f>
        <v>1026</v>
      </c>
      <c r="D14" s="491">
        <f>'Cover Page'!K4</f>
        <v>2016</v>
      </c>
      <c r="E14" s="491" t="s">
        <v>2031</v>
      </c>
      <c r="F14" s="491" t="s">
        <v>2190</v>
      </c>
      <c r="G14" s="491" t="s">
        <v>2035</v>
      </c>
      <c r="H14" s="505">
        <f>'Cover Page'!M37</f>
        <v>0</v>
      </c>
      <c r="I14" s="1" t="s">
        <v>2288</v>
      </c>
      <c r="J14" s="637">
        <f>'UFB-2 Revenue Summary'!X3</f>
        <v>0</v>
      </c>
      <c r="K14" s="285"/>
      <c r="L14" s="285"/>
      <c r="M14" s="426">
        <f>K14-L14</f>
        <v>0</v>
      </c>
      <c r="N14" s="221"/>
      <c r="O14" s="20"/>
      <c r="P14" s="289"/>
      <c r="Q14" s="289"/>
      <c r="R14" s="289"/>
      <c r="S14" s="293"/>
    </row>
    <row r="15" spans="1:19" ht="16.5" thickBot="1">
      <c r="A15" s="491" t="str">
        <f t="shared" ca="1" si="1"/>
        <v>UFB-10 Debt</v>
      </c>
      <c r="B15" s="491">
        <f>ROW()</f>
        <v>15</v>
      </c>
      <c r="C15" s="491" t="str">
        <f>'Cover Page'!K6</f>
        <v>1026</v>
      </c>
      <c r="D15" s="491">
        <f>'Cover Page'!K4</f>
        <v>2016</v>
      </c>
      <c r="E15" s="491" t="s">
        <v>2031</v>
      </c>
      <c r="F15" s="491" t="s">
        <v>2190</v>
      </c>
      <c r="G15" s="491" t="s">
        <v>2035</v>
      </c>
      <c r="H15" s="505">
        <f>'Cover Page'!M38</f>
        <v>0</v>
      </c>
      <c r="I15" s="1" t="s">
        <v>2210</v>
      </c>
      <c r="J15" s="637">
        <f>'UFB-2 Revenue Summary'!Y3</f>
        <v>0</v>
      </c>
      <c r="K15" s="285"/>
      <c r="L15" s="285"/>
      <c r="M15" s="426">
        <f t="shared" si="2"/>
        <v>0</v>
      </c>
      <c r="N15" s="221"/>
      <c r="O15" s="223" t="s">
        <v>97</v>
      </c>
      <c r="P15" s="430">
        <f>SUM(P6:P13)</f>
        <v>660749</v>
      </c>
      <c r="Q15" s="430">
        <f>SUM(Q6:Q13)</f>
        <v>517327</v>
      </c>
      <c r="R15" s="430">
        <f>SUM(R6:R13)</f>
        <v>294717</v>
      </c>
      <c r="S15" s="430">
        <f>SUM(S6:S13)</f>
        <v>1986150</v>
      </c>
    </row>
    <row r="16" spans="1:19" ht="16.5" thickTop="1">
      <c r="A16" s="491" t="str">
        <f t="shared" ca="1" si="0"/>
        <v>UFB-10 Debt</v>
      </c>
      <c r="B16" s="491">
        <f>ROW()</f>
        <v>16</v>
      </c>
      <c r="C16" s="491" t="str">
        <f>'Cover Page'!K6</f>
        <v>1026</v>
      </c>
      <c r="D16" s="491">
        <f>'Cover Page'!K4</f>
        <v>2016</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1026</v>
      </c>
      <c r="D17" s="491">
        <f>'Cover Page'!K4</f>
        <v>2016</v>
      </c>
      <c r="E17" s="491" t="s">
        <v>2031</v>
      </c>
      <c r="F17" s="491" t="s">
        <v>2190</v>
      </c>
      <c r="G17" s="491" t="s">
        <v>2192</v>
      </c>
      <c r="H17" s="505">
        <f>'Cover Page'!M38</f>
        <v>0</v>
      </c>
      <c r="I17" s="1" t="s">
        <v>2211</v>
      </c>
      <c r="J17" s="26" t="s">
        <v>230</v>
      </c>
      <c r="K17" s="285">
        <v>797870</v>
      </c>
      <c r="L17" s="652">
        <v>63709</v>
      </c>
      <c r="M17" s="426">
        <f>K17-L17</f>
        <v>734161</v>
      </c>
      <c r="N17" s="221"/>
      <c r="O17" s="220" t="s">
        <v>233</v>
      </c>
      <c r="P17" s="426">
        <f t="shared" ref="P17:S18" si="3">P6+P8+P10+P12</f>
        <v>578289</v>
      </c>
      <c r="Q17" s="426">
        <f t="shared" si="3"/>
        <v>453570</v>
      </c>
      <c r="R17" s="426">
        <f t="shared" si="3"/>
        <v>239145</v>
      </c>
      <c r="S17" s="426">
        <f t="shared" si="3"/>
        <v>1790451</v>
      </c>
    </row>
    <row r="18" spans="1:19" ht="15.75">
      <c r="A18" s="491" t="str">
        <f t="shared" ca="1" si="0"/>
        <v>UFB-10 Debt</v>
      </c>
      <c r="B18" s="491">
        <f>ROW()</f>
        <v>18</v>
      </c>
      <c r="C18" s="491" t="str">
        <f>'Cover Page'!K6</f>
        <v>1026</v>
      </c>
      <c r="D18" s="491">
        <f>'Cover Page'!K4</f>
        <v>2016</v>
      </c>
      <c r="E18" s="491" t="s">
        <v>2031</v>
      </c>
      <c r="F18" s="491" t="s">
        <v>2190</v>
      </c>
      <c r="G18" s="491" t="s">
        <v>2193</v>
      </c>
      <c r="H18" s="505">
        <f>'Cover Page'!M38</f>
        <v>0</v>
      </c>
      <c r="I18" s="1" t="s">
        <v>2212</v>
      </c>
      <c r="J18" s="26" t="s">
        <v>231</v>
      </c>
      <c r="K18" s="285">
        <v>1100000</v>
      </c>
      <c r="L18" s="652"/>
      <c r="M18" s="426">
        <f>K18-L18</f>
        <v>1100000</v>
      </c>
      <c r="N18" s="221"/>
      <c r="O18" s="220" t="s">
        <v>235</v>
      </c>
      <c r="P18" s="426">
        <f t="shared" si="3"/>
        <v>82460</v>
      </c>
      <c r="Q18" s="426">
        <f t="shared" si="3"/>
        <v>63757</v>
      </c>
      <c r="R18" s="426">
        <f t="shared" si="3"/>
        <v>55572</v>
      </c>
      <c r="S18" s="426">
        <f t="shared" si="3"/>
        <v>195699</v>
      </c>
    </row>
    <row r="19" spans="1:19" ht="16.5" thickBot="1">
      <c r="A19" s="491" t="str">
        <f t="shared" ca="1" si="0"/>
        <v>UFB-10 Debt</v>
      </c>
      <c r="B19" s="491">
        <f>ROW()</f>
        <v>19</v>
      </c>
      <c r="C19" s="491" t="str">
        <f>'Cover Page'!K6</f>
        <v>1026</v>
      </c>
      <c r="D19" s="491">
        <f>'Cover Page'!K4</f>
        <v>2016</v>
      </c>
      <c r="E19" s="491" t="s">
        <v>2031</v>
      </c>
      <c r="F19" s="491" t="s">
        <v>2190</v>
      </c>
      <c r="G19" s="491" t="s">
        <v>2194</v>
      </c>
      <c r="H19" s="505">
        <f>'Cover Page'!M38</f>
        <v>0</v>
      </c>
      <c r="I19" s="1" t="s">
        <v>2213</v>
      </c>
      <c r="J19" s="26" t="s">
        <v>232</v>
      </c>
      <c r="K19" s="285">
        <v>2780000</v>
      </c>
      <c r="L19" s="652"/>
      <c r="M19" s="426">
        <f>K19-L19</f>
        <v>2780000</v>
      </c>
      <c r="N19" s="221"/>
      <c r="O19" s="8" t="s">
        <v>262</v>
      </c>
      <c r="P19" s="651">
        <f>+P15/'UFB-3 Appropriations Summary'!R28</f>
        <v>0.15536247654863647</v>
      </c>
      <c r="Q19" s="317"/>
      <c r="R19" s="318"/>
      <c r="S19" s="381"/>
    </row>
    <row r="20" spans="1:19" ht="16.5" thickTop="1">
      <c r="A20" s="491" t="str">
        <f t="shared" ca="1" si="0"/>
        <v>UFB-10 Debt</v>
      </c>
      <c r="B20" s="491">
        <f>ROW()</f>
        <v>20</v>
      </c>
      <c r="C20" s="491" t="str">
        <f>'Cover Page'!K6</f>
        <v>1026</v>
      </c>
      <c r="D20" s="491">
        <f>'Cover Page'!K4</f>
        <v>2016</v>
      </c>
      <c r="E20" s="491" t="s">
        <v>2031</v>
      </c>
      <c r="F20" s="491" t="s">
        <v>2190</v>
      </c>
      <c r="G20" s="491" t="s">
        <v>2195</v>
      </c>
      <c r="H20" s="505">
        <f>'Cover Page'!M38</f>
        <v>0</v>
      </c>
      <c r="I20" s="1" t="s">
        <v>2289</v>
      </c>
      <c r="J20" s="26" t="s">
        <v>234</v>
      </c>
      <c r="K20" s="285">
        <v>161173</v>
      </c>
      <c r="L20" s="652"/>
      <c r="M20" s="426">
        <f>K20-L20</f>
        <v>161173</v>
      </c>
      <c r="N20" s="221"/>
      <c r="O20" s="226"/>
      <c r="P20" s="227"/>
      <c r="Q20" s="227"/>
      <c r="R20" s="227"/>
      <c r="S20" s="228"/>
    </row>
    <row r="21" spans="1:19" ht="15.75">
      <c r="A21" s="491" t="str">
        <f t="shared" ca="1" si="0"/>
        <v>UFB-10 Debt</v>
      </c>
      <c r="B21" s="491">
        <f>ROW()</f>
        <v>21</v>
      </c>
      <c r="C21" s="491" t="str">
        <f>'Cover Page'!K6</f>
        <v>1026</v>
      </c>
      <c r="D21" s="491">
        <f>'Cover Page'!K4</f>
        <v>2016</v>
      </c>
      <c r="E21" s="491" t="s">
        <v>2031</v>
      </c>
      <c r="F21" s="491" t="s">
        <v>2190</v>
      </c>
      <c r="G21" s="491" t="s">
        <v>121</v>
      </c>
      <c r="H21" s="505">
        <f>'Cover Page'!M38</f>
        <v>0</v>
      </c>
      <c r="J21" s="39"/>
      <c r="K21" s="287"/>
      <c r="L21" s="288"/>
      <c r="M21" s="288"/>
      <c r="N21" s="221"/>
      <c r="O21" s="231" t="s">
        <v>237</v>
      </c>
      <c r="P21" s="732" t="s">
        <v>238</v>
      </c>
      <c r="Q21" s="733"/>
      <c r="R21" s="733"/>
      <c r="S21" s="734"/>
    </row>
    <row r="22" spans="1:19" ht="16.5" thickBot="1">
      <c r="A22" s="491" t="str">
        <f t="shared" ca="1" si="0"/>
        <v>UFB-10 Debt</v>
      </c>
      <c r="B22" s="491">
        <f>ROW()</f>
        <v>22</v>
      </c>
      <c r="C22" s="491" t="str">
        <f>'Cover Page'!K6</f>
        <v>1026</v>
      </c>
      <c r="D22" s="491">
        <f>'Cover Page'!K4</f>
        <v>2016</v>
      </c>
      <c r="E22" s="491" t="s">
        <v>2031</v>
      </c>
      <c r="F22" s="491" t="s">
        <v>2190</v>
      </c>
      <c r="G22" s="491" t="s">
        <v>2196</v>
      </c>
      <c r="H22" s="505">
        <f>'Cover Page'!M38</f>
        <v>0</v>
      </c>
      <c r="I22" s="1" t="s">
        <v>2214</v>
      </c>
      <c r="J22" s="225" t="s">
        <v>236</v>
      </c>
      <c r="K22" s="426">
        <f>SUM(K6:K20)</f>
        <v>10486015</v>
      </c>
      <c r="L22" s="426">
        <f>SUM(L6:L20)</f>
        <v>5710681</v>
      </c>
      <c r="M22" s="426">
        <f>SUM(M6:M20)</f>
        <v>4775334</v>
      </c>
      <c r="N22" s="221"/>
      <c r="O22" s="232" t="s">
        <v>239</v>
      </c>
      <c r="P22" s="285"/>
      <c r="Q22" s="285"/>
      <c r="R22" s="292"/>
      <c r="S22" s="285"/>
    </row>
    <row r="23" spans="1:19" ht="16.5" thickTop="1">
      <c r="A23" s="491" t="str">
        <f t="shared" ca="1" si="0"/>
        <v>UFB-10 Debt</v>
      </c>
      <c r="B23" s="491">
        <f>ROW()</f>
        <v>23</v>
      </c>
      <c r="C23" s="491" t="str">
        <f>'Cover Page'!K6</f>
        <v>1026</v>
      </c>
      <c r="D23" s="491">
        <f>'Cover Page'!K4</f>
        <v>2016</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1026</v>
      </c>
      <c r="D24" s="491">
        <f>'Cover Page'!K4</f>
        <v>2016</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1026</v>
      </c>
      <c r="D25" s="491">
        <f>'Cover Page'!K4</f>
        <v>2016</v>
      </c>
      <c r="E25" s="491" t="s">
        <v>2031</v>
      </c>
      <c r="F25" s="491" t="s">
        <v>2190</v>
      </c>
      <c r="G25" s="491" t="s">
        <v>2197</v>
      </c>
      <c r="H25" s="505">
        <f>'Cover Page'!M38</f>
        <v>0</v>
      </c>
      <c r="I25" s="1" t="s">
        <v>2217</v>
      </c>
      <c r="J25" s="233" t="s">
        <v>240</v>
      </c>
      <c r="K25" s="427">
        <v>3840</v>
      </c>
      <c r="L25" s="220"/>
      <c r="M25" s="220"/>
      <c r="N25" s="221"/>
      <c r="O25" s="232" t="s">
        <v>243</v>
      </c>
      <c r="P25" s="285"/>
      <c r="Q25" s="285"/>
      <c r="R25" s="292"/>
      <c r="S25" s="285"/>
    </row>
    <row r="26" spans="1:19" ht="16.5" thickTop="1">
      <c r="A26" s="491" t="str">
        <f t="shared" ca="1" si="0"/>
        <v>UFB-10 Debt</v>
      </c>
      <c r="B26" s="491">
        <f>ROW()</f>
        <v>26</v>
      </c>
      <c r="C26" s="491" t="str">
        <f>'Cover Page'!K6</f>
        <v>1026</v>
      </c>
      <c r="D26" s="491">
        <f>'Cover Page'!K4</f>
        <v>2016</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1026</v>
      </c>
      <c r="D27" s="491">
        <f>'Cover Page'!K4</f>
        <v>2016</v>
      </c>
      <c r="E27" s="491" t="s">
        <v>2031</v>
      </c>
      <c r="F27" s="491" t="s">
        <v>2190</v>
      </c>
      <c r="G27" s="491" t="s">
        <v>2198</v>
      </c>
      <c r="H27" s="505">
        <f>'Cover Page'!M38</f>
        <v>0</v>
      </c>
      <c r="I27" s="1" t="s">
        <v>2198</v>
      </c>
      <c r="J27" s="233" t="s">
        <v>254</v>
      </c>
      <c r="K27" s="428">
        <f>K22/K25</f>
        <v>2730.7330729166665</v>
      </c>
      <c r="N27" s="31"/>
      <c r="O27" s="238" t="s">
        <v>245</v>
      </c>
      <c r="P27" s="474" t="s">
        <v>246</v>
      </c>
      <c r="Q27" s="475" t="s">
        <v>247</v>
      </c>
      <c r="R27" s="474" t="s">
        <v>248</v>
      </c>
      <c r="S27" s="12"/>
    </row>
    <row r="28" spans="1:19" ht="17.25" thickTop="1" thickBot="1">
      <c r="A28" s="491" t="str">
        <f t="shared" ca="1" si="0"/>
        <v>UFB-10 Debt</v>
      </c>
      <c r="B28" s="491">
        <f>ROW()</f>
        <v>28</v>
      </c>
      <c r="C28" s="491" t="str">
        <f>'Cover Page'!K6</f>
        <v>1026</v>
      </c>
      <c r="D28" s="491">
        <f>'Cover Page'!K4</f>
        <v>2016</v>
      </c>
      <c r="E28" s="491" t="s">
        <v>2031</v>
      </c>
      <c r="F28" s="491" t="s">
        <v>2190</v>
      </c>
      <c r="G28" s="491" t="s">
        <v>2199</v>
      </c>
      <c r="H28" s="505">
        <f>'Cover Page'!M38</f>
        <v>0</v>
      </c>
      <c r="I28" s="1" t="s">
        <v>2218</v>
      </c>
      <c r="J28" s="26" t="s">
        <v>255</v>
      </c>
      <c r="K28" s="428">
        <f>M22/K25</f>
        <v>1243.5765624999999</v>
      </c>
      <c r="N28" s="234"/>
      <c r="O28" s="241" t="s">
        <v>249</v>
      </c>
      <c r="P28" s="649" t="s">
        <v>2341</v>
      </c>
      <c r="Q28" s="649"/>
      <c r="R28" s="649"/>
      <c r="S28" s="239"/>
    </row>
    <row r="29" spans="1:19" ht="16.5" thickTop="1">
      <c r="A29" s="491" t="str">
        <f t="shared" ca="1" si="0"/>
        <v>UFB-10 Debt</v>
      </c>
      <c r="B29" s="491">
        <f>ROW()</f>
        <v>29</v>
      </c>
      <c r="C29" s="491" t="str">
        <f>'Cover Page'!K6</f>
        <v>1026</v>
      </c>
      <c r="D29" s="491">
        <f>'Cover Page'!K4</f>
        <v>2016</v>
      </c>
      <c r="E29" s="491" t="s">
        <v>2031</v>
      </c>
      <c r="F29" s="491" t="s">
        <v>2190</v>
      </c>
      <c r="G29" s="491" t="s">
        <v>121</v>
      </c>
      <c r="H29" s="505">
        <f>'Cover Page'!M38</f>
        <v>0</v>
      </c>
      <c r="I29" s="1" t="s">
        <v>2219</v>
      </c>
      <c r="J29" s="26"/>
      <c r="L29" s="236"/>
      <c r="M29" s="236"/>
      <c r="N29" s="240"/>
      <c r="O29" s="241" t="s">
        <v>251</v>
      </c>
      <c r="P29" s="650">
        <v>2016</v>
      </c>
      <c r="Q29" s="650"/>
      <c r="R29" s="650"/>
      <c r="S29" s="242"/>
    </row>
    <row r="30" spans="1:19" ht="15.75" thickBot="1">
      <c r="A30" s="491" t="str">
        <f t="shared" ca="1" si="0"/>
        <v>UFB-10 Debt</v>
      </c>
      <c r="B30" s="491">
        <f>ROW()</f>
        <v>30</v>
      </c>
      <c r="C30" s="491" t="str">
        <f>'Cover Page'!K6</f>
        <v>1026</v>
      </c>
      <c r="D30" s="491">
        <f>'Cover Page'!K4</f>
        <v>2016</v>
      </c>
      <c r="E30" s="491" t="s">
        <v>2031</v>
      </c>
      <c r="F30" s="491" t="s">
        <v>2190</v>
      </c>
      <c r="G30" s="491" t="s">
        <v>2200</v>
      </c>
      <c r="H30" s="505">
        <f>'Cover Page'!M38</f>
        <v>0</v>
      </c>
      <c r="J30" s="233" t="s">
        <v>244</v>
      </c>
      <c r="K30" s="237"/>
      <c r="L30" s="290">
        <v>504836520</v>
      </c>
      <c r="M30" s="237"/>
      <c r="N30" s="240"/>
      <c r="S30" s="242"/>
    </row>
    <row r="31" spans="1:19" ht="19.5" thickTop="1">
      <c r="A31" s="491" t="str">
        <f t="shared" ca="1" si="0"/>
        <v>UFB-10 Debt</v>
      </c>
      <c r="B31" s="491">
        <f>ROW()</f>
        <v>31</v>
      </c>
      <c r="C31" s="491" t="str">
        <f>'Cover Page'!K6</f>
        <v>1026</v>
      </c>
      <c r="D31" s="491">
        <f>'Cover Page'!K4</f>
        <v>2016</v>
      </c>
      <c r="E31" s="491" t="s">
        <v>2031</v>
      </c>
      <c r="F31" s="491" t="s">
        <v>2190</v>
      </c>
      <c r="G31" s="491" t="s">
        <v>121</v>
      </c>
      <c r="H31" s="505">
        <f>'Cover Page'!M38</f>
        <v>0</v>
      </c>
      <c r="I31" s="1" t="s">
        <v>2220</v>
      </c>
      <c r="J31" s="26"/>
      <c r="N31" s="38"/>
      <c r="O31" s="291" t="s">
        <v>256</v>
      </c>
      <c r="P31" s="37"/>
      <c r="Q31" s="648"/>
      <c r="R31" s="37"/>
      <c r="S31" s="244"/>
    </row>
    <row r="32" spans="1:19" s="20" customFormat="1" ht="15.75" thickBot="1">
      <c r="A32" s="491" t="str">
        <f t="shared" ca="1" si="0"/>
        <v>UFB-10 Debt</v>
      </c>
      <c r="B32" s="491">
        <f>ROW()</f>
        <v>32</v>
      </c>
      <c r="C32" s="491" t="str">
        <f>'Cover Page'!K6</f>
        <v>1026</v>
      </c>
      <c r="D32" s="491">
        <f>'Cover Page'!K4</f>
        <v>2016</v>
      </c>
      <c r="E32" s="491" t="s">
        <v>2031</v>
      </c>
      <c r="F32" s="491" t="s">
        <v>2190</v>
      </c>
      <c r="G32" s="491" t="s">
        <v>2201</v>
      </c>
      <c r="H32" s="505">
        <f>'Cover Page'!M38</f>
        <v>0</v>
      </c>
      <c r="I32" s="20" t="s">
        <v>2290</v>
      </c>
      <c r="J32" s="233" t="s">
        <v>250</v>
      </c>
      <c r="K32" s="243"/>
      <c r="L32" s="429">
        <f>M22/L30</f>
        <v>9.4591690791308043E-3</v>
      </c>
      <c r="M32" s="242"/>
      <c r="N32" s="8"/>
      <c r="P32" s="8"/>
      <c r="Q32" s="8"/>
      <c r="R32" s="8"/>
      <c r="S32" s="8"/>
    </row>
    <row r="33" spans="1:19" ht="15" thickTop="1">
      <c r="A33" s="491" t="str">
        <f t="shared" ca="1" si="0"/>
        <v>UFB-10 Debt</v>
      </c>
      <c r="B33" s="491">
        <f>ROW()</f>
        <v>33</v>
      </c>
      <c r="C33" s="491" t="str">
        <f>'Cover Page'!K6</f>
        <v>1026</v>
      </c>
      <c r="D33" s="491">
        <f>'Cover Page'!K4</f>
        <v>2016</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t="shared" ref="A36:A41" ca="1" si="4">MID(CELL("filename",A24),FIND("]",CELL("filename",A24))+1,256)</f>
        <v>UFB-10 Debt</v>
      </c>
      <c r="B36" s="503"/>
      <c r="C36" s="491"/>
      <c r="D36" s="491"/>
      <c r="E36" s="491"/>
      <c r="F36" s="491"/>
      <c r="G36" s="491"/>
      <c r="H36" s="494"/>
    </row>
    <row r="37" spans="1:19">
      <c r="A37" s="504" t="str">
        <f t="shared" ca="1" si="4"/>
        <v>UFB-10 Debt</v>
      </c>
      <c r="B37" s="503"/>
      <c r="C37" s="491"/>
      <c r="D37" s="491"/>
      <c r="E37" s="491"/>
      <c r="F37" s="491"/>
      <c r="G37" s="491"/>
      <c r="H37" s="494"/>
    </row>
    <row r="38" spans="1:19">
      <c r="A38" s="504" t="str">
        <f t="shared" ca="1" si="4"/>
        <v>UFB-10 Debt</v>
      </c>
      <c r="B38" s="503"/>
      <c r="C38" s="491"/>
      <c r="D38" s="491"/>
      <c r="E38" s="491"/>
      <c r="F38" s="491"/>
      <c r="G38" s="491"/>
      <c r="H38" s="494"/>
    </row>
    <row r="39" spans="1:19">
      <c r="A39" s="504" t="str">
        <f t="shared" ca="1" si="4"/>
        <v>UFB-10 Debt</v>
      </c>
      <c r="B39" s="503"/>
      <c r="C39" s="491"/>
      <c r="D39" s="491"/>
      <c r="E39" s="491"/>
      <c r="F39" s="491"/>
      <c r="G39" s="491"/>
      <c r="H39" s="494"/>
    </row>
    <row r="40" spans="1:19">
      <c r="A40" s="504" t="str">
        <f t="shared" ca="1" si="4"/>
        <v>UFB-10 Debt</v>
      </c>
      <c r="B40" s="503"/>
      <c r="C40" s="491"/>
      <c r="D40" s="491"/>
      <c r="E40" s="491"/>
      <c r="F40" s="491"/>
      <c r="G40" s="491"/>
      <c r="H40" s="494"/>
    </row>
    <row r="41" spans="1:19">
      <c r="A41" s="504" t="str">
        <f t="shared" ca="1" si="4"/>
        <v>UFB-10 Debt</v>
      </c>
      <c r="B41" s="503"/>
      <c r="C41" s="491"/>
      <c r="D41" s="491"/>
      <c r="E41" s="491"/>
      <c r="F41" s="491"/>
      <c r="G41" s="491"/>
      <c r="H41" s="494"/>
    </row>
  </sheetData>
  <sheetProtection password="C7B6"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abSelected="1" topLeftCell="J1" workbookViewId="0">
      <selection activeCell="P8" sqref="P8"/>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1026</v>
      </c>
      <c r="D1" s="491">
        <f>'Cover Page'!K4</f>
        <v>2016</v>
      </c>
      <c r="E1" s="491" t="s">
        <v>2031</v>
      </c>
      <c r="F1" s="491" t="s">
        <v>2221</v>
      </c>
      <c r="G1" s="491"/>
      <c r="H1" s="505">
        <f>'Cover Page'!M38</f>
        <v>0</v>
      </c>
      <c r="J1" s="685" t="s">
        <v>286</v>
      </c>
      <c r="K1" s="685"/>
      <c r="L1" s="685"/>
      <c r="M1" s="685"/>
      <c r="N1" s="685"/>
      <c r="O1" s="685"/>
      <c r="P1" s="685"/>
    </row>
    <row r="2" spans="1:16" ht="15.75" thickBot="1">
      <c r="A2" s="491" t="str">
        <f ca="1">MID(CELL("filename",A2),FIND("]",CELL("filename",A2))+1,256)</f>
        <v>UFB-11 Shared Services</v>
      </c>
      <c r="B2" s="491">
        <f>ROW()</f>
        <v>2</v>
      </c>
      <c r="C2" s="491" t="str">
        <f>'Cover Page'!K6</f>
        <v>1026</v>
      </c>
      <c r="D2" s="491">
        <f>'Cover Page'!K4</f>
        <v>2016</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1026</v>
      </c>
      <c r="D3" s="491">
        <f>'Cover Page'!K4</f>
        <v>2016</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1026</v>
      </c>
      <c r="D4" s="491">
        <f>'Cover Page'!K4</f>
        <v>2016</v>
      </c>
      <c r="E4" s="491" t="s">
        <v>2031</v>
      </c>
      <c r="F4" s="491" t="s">
        <v>2221</v>
      </c>
      <c r="G4" s="491" t="s">
        <v>2222</v>
      </c>
      <c r="H4" s="505">
        <f>'Cover Page'!M38</f>
        <v>0</v>
      </c>
      <c r="J4" s="384" t="s">
        <v>282</v>
      </c>
      <c r="K4" s="195" t="s">
        <v>2342</v>
      </c>
      <c r="L4" s="195" t="s">
        <v>2343</v>
      </c>
      <c r="M4" s="196" t="s">
        <v>2344</v>
      </c>
      <c r="N4" s="197">
        <v>42005</v>
      </c>
      <c r="O4" s="198">
        <v>42735</v>
      </c>
      <c r="P4" s="294">
        <v>8000</v>
      </c>
    </row>
    <row r="5" spans="1:16" s="199" customFormat="1" ht="15.75">
      <c r="A5" s="491" t="str">
        <f t="shared" ca="1" si="0"/>
        <v>UFB-11 Shared Services</v>
      </c>
      <c r="B5" s="491">
        <f>ROW()</f>
        <v>5</v>
      </c>
      <c r="C5" s="491" t="str">
        <f>'Cover Page'!K6</f>
        <v>1026</v>
      </c>
      <c r="D5" s="491">
        <f>'Cover Page'!K4</f>
        <v>2016</v>
      </c>
      <c r="E5" s="491" t="s">
        <v>2031</v>
      </c>
      <c r="F5" s="491" t="s">
        <v>2221</v>
      </c>
      <c r="G5" s="491" t="s">
        <v>2222</v>
      </c>
      <c r="H5" s="505">
        <f>'Cover Page'!M38</f>
        <v>0</v>
      </c>
      <c r="J5" s="384" t="s">
        <v>281</v>
      </c>
      <c r="K5" s="195" t="s">
        <v>2345</v>
      </c>
      <c r="L5" s="195" t="s">
        <v>2346</v>
      </c>
      <c r="M5" s="200" t="s">
        <v>2347</v>
      </c>
      <c r="N5" s="197">
        <v>42005</v>
      </c>
      <c r="O5" s="198">
        <v>43465</v>
      </c>
      <c r="P5" s="295" t="s">
        <v>2348</v>
      </c>
    </row>
    <row r="6" spans="1:16" s="199" customFormat="1" ht="15.75">
      <c r="A6" s="491" t="str">
        <f t="shared" ca="1" si="0"/>
        <v>UFB-11 Shared Services</v>
      </c>
      <c r="B6" s="491">
        <f>ROW()</f>
        <v>6</v>
      </c>
      <c r="C6" s="491" t="str">
        <f>'Cover Page'!K6</f>
        <v>1026</v>
      </c>
      <c r="D6" s="491">
        <f>'Cover Page'!K4</f>
        <v>2016</v>
      </c>
      <c r="E6" s="491" t="s">
        <v>2031</v>
      </c>
      <c r="F6" s="491" t="s">
        <v>2221</v>
      </c>
      <c r="G6" s="491" t="s">
        <v>2222</v>
      </c>
      <c r="H6" s="505">
        <f>'Cover Page'!M38</f>
        <v>0</v>
      </c>
      <c r="J6" s="384" t="s">
        <v>281</v>
      </c>
      <c r="K6" s="195" t="s">
        <v>2345</v>
      </c>
      <c r="L6" s="195" t="s">
        <v>2349</v>
      </c>
      <c r="M6" s="200" t="s">
        <v>2350</v>
      </c>
      <c r="N6" s="197">
        <v>42005</v>
      </c>
      <c r="O6" s="198">
        <v>42735</v>
      </c>
      <c r="P6" s="295">
        <v>15000</v>
      </c>
    </row>
    <row r="7" spans="1:16" s="199" customFormat="1" ht="15.75">
      <c r="A7" s="491" t="str">
        <f t="shared" ca="1" si="0"/>
        <v>UFB-11 Shared Services</v>
      </c>
      <c r="B7" s="491">
        <f>ROW()</f>
        <v>7</v>
      </c>
      <c r="C7" s="491" t="str">
        <f>'Cover Page'!K6</f>
        <v>1026</v>
      </c>
      <c r="D7" s="491">
        <f>'Cover Page'!K4</f>
        <v>2016</v>
      </c>
      <c r="E7" s="491" t="s">
        <v>2031</v>
      </c>
      <c r="F7" s="491" t="s">
        <v>2221</v>
      </c>
      <c r="G7" s="491" t="s">
        <v>2222</v>
      </c>
      <c r="H7" s="505">
        <f>'Cover Page'!M38</f>
        <v>0</v>
      </c>
      <c r="J7" s="384" t="s">
        <v>282</v>
      </c>
      <c r="K7" s="195" t="s">
        <v>2345</v>
      </c>
      <c r="L7" s="195" t="s">
        <v>2352</v>
      </c>
      <c r="M7" s="200" t="s">
        <v>2344</v>
      </c>
      <c r="N7" s="197">
        <v>42491</v>
      </c>
      <c r="O7" s="198">
        <v>44561</v>
      </c>
      <c r="P7" s="295">
        <v>15165</v>
      </c>
    </row>
    <row r="8" spans="1:16" s="199" customFormat="1" ht="15.75">
      <c r="A8" s="491" t="str">
        <f t="shared" ca="1" si="0"/>
        <v>UFB-11 Shared Services</v>
      </c>
      <c r="B8" s="491">
        <f>ROW()</f>
        <v>8</v>
      </c>
      <c r="C8" s="491" t="str">
        <f>'Cover Page'!K6</f>
        <v>1026</v>
      </c>
      <c r="D8" s="491">
        <f>'Cover Page'!K4</f>
        <v>2016</v>
      </c>
      <c r="E8" s="491" t="s">
        <v>2031</v>
      </c>
      <c r="F8" s="491" t="s">
        <v>2221</v>
      </c>
      <c r="G8" s="491" t="s">
        <v>2222</v>
      </c>
      <c r="H8" s="505">
        <f>'Cover Page'!M38</f>
        <v>0</v>
      </c>
      <c r="J8" s="384"/>
      <c r="K8" s="195"/>
      <c r="L8" s="195"/>
      <c r="M8" s="200"/>
      <c r="N8" s="197"/>
      <c r="O8" s="198"/>
      <c r="P8" s="295"/>
    </row>
    <row r="9" spans="1:16" s="199" customFormat="1" ht="15.75">
      <c r="A9" s="491" t="str">
        <f t="shared" ca="1" si="0"/>
        <v>UFB-11 Shared Services</v>
      </c>
      <c r="B9" s="491">
        <f>ROW()</f>
        <v>9</v>
      </c>
      <c r="C9" s="491" t="str">
        <f>'Cover Page'!K6</f>
        <v>1026</v>
      </c>
      <c r="D9" s="491">
        <f>'Cover Page'!K4</f>
        <v>2016</v>
      </c>
      <c r="E9" s="491" t="s">
        <v>2031</v>
      </c>
      <c r="F9" s="491" t="s">
        <v>2221</v>
      </c>
      <c r="G9" s="491" t="s">
        <v>2222</v>
      </c>
      <c r="H9" s="505">
        <f>'Cover Page'!M38</f>
        <v>0</v>
      </c>
      <c r="J9" s="384"/>
      <c r="K9" s="195"/>
      <c r="L9" s="195"/>
      <c r="M9" s="200"/>
      <c r="N9" s="197"/>
      <c r="O9" s="198"/>
      <c r="P9" s="295"/>
    </row>
    <row r="10" spans="1:16" s="199" customFormat="1" ht="15.75">
      <c r="A10" s="491" t="str">
        <f ca="1">MID(CELL("filename",A10),FIND("]",CELL("filename",A10))+1,256)</f>
        <v>UFB-11 Shared Services</v>
      </c>
      <c r="B10" s="491">
        <f>ROW()</f>
        <v>10</v>
      </c>
      <c r="C10" s="491" t="str">
        <f>'Cover Page'!K6</f>
        <v>1026</v>
      </c>
      <c r="D10" s="491">
        <f>'Cover Page'!K4</f>
        <v>2016</v>
      </c>
      <c r="E10" s="491" t="s">
        <v>2031</v>
      </c>
      <c r="F10" s="491" t="s">
        <v>2221</v>
      </c>
      <c r="G10" s="491" t="s">
        <v>2222</v>
      </c>
      <c r="H10" s="505">
        <f>'Cover Page'!M38</f>
        <v>0</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1026</v>
      </c>
      <c r="D11" s="491">
        <f>'Cover Page'!K4</f>
        <v>2016</v>
      </c>
      <c r="E11" s="491" t="s">
        <v>2031</v>
      </c>
      <c r="F11" s="491" t="s">
        <v>2221</v>
      </c>
      <c r="G11" s="491" t="s">
        <v>2222</v>
      </c>
      <c r="H11" s="505">
        <f>'Cover Page'!M38</f>
        <v>0</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1026</v>
      </c>
      <c r="D12" s="491">
        <f>'Cover Page'!K4</f>
        <v>2016</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1026</v>
      </c>
      <c r="D13" s="491">
        <f>'Cover Page'!K4</f>
        <v>2016</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1026</v>
      </c>
      <c r="D14" s="491">
        <f>'Cover Page'!K4</f>
        <v>2016</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1026</v>
      </c>
      <c r="D15" s="491">
        <f>'Cover Page'!K4</f>
        <v>2016</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1026</v>
      </c>
      <c r="D16" s="491">
        <f>'Cover Page'!K4</f>
        <v>2016</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1026</v>
      </c>
      <c r="D17" s="491">
        <f>'Cover Page'!K4</f>
        <v>2016</v>
      </c>
      <c r="E17" s="491" t="s">
        <v>2031</v>
      </c>
      <c r="F17" s="491" t="s">
        <v>2221</v>
      </c>
      <c r="G17" s="491" t="s">
        <v>2222</v>
      </c>
      <c r="H17" s="505">
        <f>'Cover Page'!M25</f>
        <v>43100</v>
      </c>
      <c r="J17" s="384"/>
      <c r="K17" s="195"/>
      <c r="L17" s="195"/>
      <c r="M17" s="201"/>
      <c r="N17" s="197"/>
      <c r="O17" s="198"/>
      <c r="P17" s="295"/>
    </row>
    <row r="18" spans="1:19" s="199" customFormat="1" ht="15.75">
      <c r="A18" s="491" t="str">
        <f t="shared" ca="1" si="0"/>
        <v>UFB-11 Shared Services</v>
      </c>
      <c r="B18" s="491">
        <f>ROW()</f>
        <v>18</v>
      </c>
      <c r="C18" s="491" t="str">
        <f>'Cover Page'!K6</f>
        <v>1026</v>
      </c>
      <c r="D18" s="491">
        <f>'Cover Page'!K4</f>
        <v>2016</v>
      </c>
      <c r="E18" s="491" t="s">
        <v>2031</v>
      </c>
      <c r="F18" s="491" t="s">
        <v>2221</v>
      </c>
      <c r="G18" s="491" t="s">
        <v>2222</v>
      </c>
      <c r="H18" s="505">
        <f>'Cover Page'!M25</f>
        <v>43100</v>
      </c>
      <c r="J18" s="384"/>
      <c r="K18" s="195"/>
      <c r="L18" s="195"/>
      <c r="M18" s="201"/>
      <c r="N18" s="197"/>
      <c r="O18" s="198"/>
      <c r="P18" s="295"/>
    </row>
    <row r="19" spans="1:19" s="199" customFormat="1" ht="15.75">
      <c r="A19" s="491" t="str">
        <f t="shared" ca="1" si="0"/>
        <v>UFB-11 Shared Services</v>
      </c>
      <c r="B19" s="491">
        <f>ROW()</f>
        <v>19</v>
      </c>
      <c r="C19" s="491" t="str">
        <f>'Cover Page'!K6</f>
        <v>1026</v>
      </c>
      <c r="D19" s="491">
        <f>'Cover Page'!K4</f>
        <v>2016</v>
      </c>
      <c r="E19" s="491" t="s">
        <v>2031</v>
      </c>
      <c r="F19" s="491" t="s">
        <v>2221</v>
      </c>
      <c r="G19" s="491" t="s">
        <v>2222</v>
      </c>
      <c r="H19" s="505">
        <f>'Cover Page'!M25</f>
        <v>43100</v>
      </c>
      <c r="J19" s="384"/>
      <c r="K19" s="195"/>
      <c r="L19" s="195"/>
      <c r="M19" s="201" t="s">
        <v>121</v>
      </c>
      <c r="N19" s="197"/>
      <c r="O19" s="198"/>
      <c r="P19" s="295"/>
    </row>
    <row r="20" spans="1:19" s="199" customFormat="1" ht="15.75">
      <c r="A20" s="491" t="str">
        <f t="shared" ca="1" si="0"/>
        <v>UFB-11 Shared Services</v>
      </c>
      <c r="B20" s="491">
        <f>ROW()</f>
        <v>20</v>
      </c>
      <c r="C20" s="491" t="str">
        <f>'Cover Page'!K6</f>
        <v>1026</v>
      </c>
      <c r="D20" s="491">
        <f>'Cover Page'!K4</f>
        <v>2016</v>
      </c>
      <c r="E20" s="491" t="s">
        <v>2031</v>
      </c>
      <c r="F20" s="491" t="s">
        <v>2221</v>
      </c>
      <c r="G20" s="491" t="s">
        <v>2222</v>
      </c>
      <c r="H20" s="505">
        <f>'Cover Page'!M25</f>
        <v>43100</v>
      </c>
      <c r="J20" s="384"/>
      <c r="K20" s="195"/>
      <c r="L20" s="195"/>
      <c r="M20" s="201"/>
      <c r="N20" s="197"/>
      <c r="O20" s="198"/>
      <c r="P20" s="295"/>
    </row>
    <row r="21" spans="1:19" s="199" customFormat="1" ht="15.75">
      <c r="A21" s="491" t="str">
        <f t="shared" ca="1" si="0"/>
        <v>UFB-11 Shared Services</v>
      </c>
      <c r="B21" s="491">
        <f>ROW()</f>
        <v>21</v>
      </c>
      <c r="C21" s="491" t="str">
        <f>'Cover Page'!K6</f>
        <v>1026</v>
      </c>
      <c r="D21" s="491">
        <f>'Cover Page'!K4</f>
        <v>2016</v>
      </c>
      <c r="E21" s="491" t="s">
        <v>2031</v>
      </c>
      <c r="F21" s="491" t="s">
        <v>2221</v>
      </c>
      <c r="G21" s="491" t="s">
        <v>2222</v>
      </c>
      <c r="H21" s="505">
        <f>'Cover Page'!M25</f>
        <v>43100</v>
      </c>
      <c r="J21" s="384"/>
      <c r="K21" s="195"/>
      <c r="L21" s="195"/>
      <c r="M21" s="201"/>
      <c r="N21" s="197"/>
      <c r="O21" s="198"/>
      <c r="P21" s="295"/>
      <c r="S21" s="661" t="s">
        <v>281</v>
      </c>
    </row>
    <row r="22" spans="1:19" s="199" customFormat="1" ht="15.75">
      <c r="A22" s="491" t="str">
        <f t="shared" ca="1" si="0"/>
        <v>UFB-11 Shared Services</v>
      </c>
      <c r="B22" s="491">
        <f>ROW()</f>
        <v>22</v>
      </c>
      <c r="C22" s="491" t="str">
        <f>'Cover Page'!K6</f>
        <v>1026</v>
      </c>
      <c r="D22" s="491">
        <f>'Cover Page'!K4</f>
        <v>2016</v>
      </c>
      <c r="E22" s="491" t="s">
        <v>2031</v>
      </c>
      <c r="F22" s="491" t="s">
        <v>2221</v>
      </c>
      <c r="G22" s="491" t="s">
        <v>2222</v>
      </c>
      <c r="H22" s="505">
        <f>'Cover Page'!M25</f>
        <v>43100</v>
      </c>
      <c r="J22" s="384"/>
      <c r="K22" s="195"/>
      <c r="L22" s="195"/>
      <c r="M22" s="201"/>
      <c r="N22" s="197"/>
      <c r="O22" s="198"/>
      <c r="P22" s="295"/>
      <c r="S22" s="661" t="s">
        <v>282</v>
      </c>
    </row>
    <row r="23" spans="1:19" s="199" customFormat="1" ht="15.75">
      <c r="A23" s="491" t="str">
        <f t="shared" ca="1" si="0"/>
        <v>UFB-11 Shared Services</v>
      </c>
      <c r="B23" s="491">
        <f>ROW()</f>
        <v>23</v>
      </c>
      <c r="C23" s="491" t="str">
        <f>'Cover Page'!K6</f>
        <v>1026</v>
      </c>
      <c r="D23" s="491">
        <f>'Cover Page'!K4</f>
        <v>2016</v>
      </c>
      <c r="E23" s="491" t="s">
        <v>2031</v>
      </c>
      <c r="F23" s="491" t="s">
        <v>2221</v>
      </c>
      <c r="G23" s="491" t="s">
        <v>2222</v>
      </c>
      <c r="H23" s="505">
        <f>'Cover Page'!M25</f>
        <v>43100</v>
      </c>
      <c r="J23" s="384"/>
      <c r="K23" s="195"/>
      <c r="L23" s="195"/>
      <c r="M23" s="201"/>
      <c r="N23" s="197"/>
      <c r="O23" s="198"/>
      <c r="P23" s="295"/>
      <c r="S23" s="662"/>
    </row>
    <row r="24" spans="1:19" s="199" customFormat="1" ht="15.75">
      <c r="A24" s="491" t="str">
        <f t="shared" ca="1" si="0"/>
        <v>UFB-11 Shared Services</v>
      </c>
      <c r="B24" s="491">
        <f>ROW()</f>
        <v>24</v>
      </c>
      <c r="C24" s="491" t="str">
        <f>'Cover Page'!K6</f>
        <v>1026</v>
      </c>
      <c r="D24" s="491">
        <f>'Cover Page'!K4</f>
        <v>2016</v>
      </c>
      <c r="E24" s="491" t="s">
        <v>2031</v>
      </c>
      <c r="F24" s="491" t="s">
        <v>2221</v>
      </c>
      <c r="G24" s="491" t="s">
        <v>2222</v>
      </c>
      <c r="H24" s="505">
        <f>'Cover Page'!M25</f>
        <v>43100</v>
      </c>
      <c r="J24" s="384"/>
      <c r="K24" s="195"/>
      <c r="L24" s="195"/>
      <c r="M24" s="201"/>
      <c r="N24" s="197"/>
      <c r="O24" s="198"/>
      <c r="P24" s="295"/>
      <c r="S24" s="662"/>
    </row>
    <row r="25" spans="1:19" s="199" customFormat="1" ht="15.75">
      <c r="A25" s="491" t="str">
        <f t="shared" ca="1" si="0"/>
        <v>UFB-11 Shared Services</v>
      </c>
      <c r="B25" s="491">
        <f>ROW()</f>
        <v>25</v>
      </c>
      <c r="C25" s="491" t="str">
        <f>'Cover Page'!K6</f>
        <v>1026</v>
      </c>
      <c r="D25" s="491">
        <f>'Cover Page'!K4</f>
        <v>2016</v>
      </c>
      <c r="E25" s="491" t="s">
        <v>2031</v>
      </c>
      <c r="F25" s="491" t="s">
        <v>2221</v>
      </c>
      <c r="G25" s="491" t="s">
        <v>2222</v>
      </c>
      <c r="H25" s="505">
        <f>'Cover Page'!M25</f>
        <v>43100</v>
      </c>
      <c r="J25" s="384"/>
      <c r="K25" s="195"/>
      <c r="L25" s="195"/>
      <c r="M25" s="201"/>
      <c r="N25" s="197"/>
      <c r="O25" s="198"/>
      <c r="P25" s="295"/>
      <c r="S25" s="662"/>
    </row>
    <row r="26" spans="1:19" s="199" customFormat="1" ht="15.75">
      <c r="A26" s="491" t="str">
        <f t="shared" ca="1" si="0"/>
        <v>UFB-11 Shared Services</v>
      </c>
      <c r="B26" s="491">
        <f>ROW()</f>
        <v>26</v>
      </c>
      <c r="C26" s="491" t="str">
        <f>'Cover Page'!K6</f>
        <v>1026</v>
      </c>
      <c r="D26" s="491">
        <f>'Cover Page'!K4</f>
        <v>2016</v>
      </c>
      <c r="E26" s="491" t="s">
        <v>2031</v>
      </c>
      <c r="F26" s="491" t="s">
        <v>2221</v>
      </c>
      <c r="G26" s="491" t="s">
        <v>2222</v>
      </c>
      <c r="H26" s="505">
        <f>'Cover Page'!M25</f>
        <v>43100</v>
      </c>
      <c r="J26" s="384"/>
      <c r="K26" s="195"/>
      <c r="L26" s="195"/>
      <c r="M26" s="201"/>
      <c r="N26" s="197"/>
      <c r="O26" s="198"/>
      <c r="P26" s="295"/>
      <c r="S26" s="662"/>
    </row>
    <row r="27" spans="1:19" s="199" customFormat="1" ht="15.75">
      <c r="A27" s="491" t="str">
        <f t="shared" ca="1" si="0"/>
        <v>UFB-11 Shared Services</v>
      </c>
      <c r="B27" s="491">
        <f>ROW()</f>
        <v>27</v>
      </c>
      <c r="C27" s="491" t="str">
        <f>'Cover Page'!K6</f>
        <v>1026</v>
      </c>
      <c r="D27" s="491">
        <f>'Cover Page'!K4</f>
        <v>2016</v>
      </c>
      <c r="E27" s="491" t="s">
        <v>2031</v>
      </c>
      <c r="F27" s="491" t="s">
        <v>2221</v>
      </c>
      <c r="G27" s="491" t="s">
        <v>2222</v>
      </c>
      <c r="H27" s="505">
        <f>'Cover Page'!M25</f>
        <v>43100</v>
      </c>
      <c r="J27" s="384"/>
      <c r="K27" s="195"/>
      <c r="L27" s="195"/>
      <c r="M27" s="201"/>
      <c r="N27" s="403"/>
      <c r="O27" s="404"/>
      <c r="P27" s="295"/>
      <c r="S27" s="662"/>
    </row>
    <row r="28" spans="1:19" s="199" customFormat="1" ht="15.75">
      <c r="A28" s="491" t="str">
        <f t="shared" ca="1" si="0"/>
        <v>UFB-11 Shared Services</v>
      </c>
      <c r="B28" s="491">
        <f>ROW()</f>
        <v>28</v>
      </c>
      <c r="C28" s="491" t="str">
        <f>'Cover Page'!K6</f>
        <v>1026</v>
      </c>
      <c r="D28" s="491">
        <f>'Cover Page'!K4</f>
        <v>2016</v>
      </c>
      <c r="E28" s="491" t="s">
        <v>2031</v>
      </c>
      <c r="F28" s="491" t="s">
        <v>2221</v>
      </c>
      <c r="G28" s="491" t="s">
        <v>2222</v>
      </c>
      <c r="H28" s="505">
        <f>'Cover Page'!M25</f>
        <v>43100</v>
      </c>
      <c r="J28" s="384"/>
      <c r="K28" s="195"/>
      <c r="L28" s="195"/>
      <c r="M28" s="201"/>
      <c r="N28" s="197"/>
      <c r="O28" s="198"/>
      <c r="P28" s="295"/>
      <c r="S28" s="662"/>
    </row>
    <row r="29" spans="1:19" s="199" customFormat="1" ht="15.75">
      <c r="A29" s="491" t="str">
        <f t="shared" ca="1" si="0"/>
        <v>UFB-11 Shared Services</v>
      </c>
      <c r="B29" s="491">
        <f>ROW()</f>
        <v>29</v>
      </c>
      <c r="C29" s="491" t="str">
        <f>'Cover Page'!K6</f>
        <v>1026</v>
      </c>
      <c r="D29" s="491">
        <f>'Cover Page'!K4</f>
        <v>2016</v>
      </c>
      <c r="E29" s="491" t="s">
        <v>2031</v>
      </c>
      <c r="F29" s="491" t="s">
        <v>2221</v>
      </c>
      <c r="G29" s="491" t="s">
        <v>2222</v>
      </c>
      <c r="H29" s="505">
        <f>'Cover Page'!M38</f>
        <v>0</v>
      </c>
      <c r="J29" s="384"/>
      <c r="K29" s="195"/>
      <c r="L29" s="195"/>
      <c r="M29" s="201"/>
      <c r="N29" s="197"/>
      <c r="O29" s="198"/>
      <c r="P29" s="295"/>
      <c r="S29" s="662"/>
    </row>
    <row r="30" spans="1:19" s="199" customFormat="1" ht="15.75">
      <c r="A30" s="491" t="str">
        <f t="shared" ca="1" si="0"/>
        <v>UFB-11 Shared Services</v>
      </c>
      <c r="B30" s="491">
        <f>ROW()</f>
        <v>30</v>
      </c>
      <c r="C30" s="491" t="str">
        <f>'Cover Page'!K6</f>
        <v>1026</v>
      </c>
      <c r="D30" s="491">
        <f>'Cover Page'!K4</f>
        <v>2016</v>
      </c>
      <c r="E30" s="491" t="s">
        <v>2031</v>
      </c>
      <c r="F30" s="491" t="s">
        <v>2221</v>
      </c>
      <c r="G30" s="491" t="s">
        <v>2222</v>
      </c>
      <c r="H30" s="505">
        <f>'Cover Page'!M38</f>
        <v>0</v>
      </c>
      <c r="J30" s="384"/>
      <c r="K30" s="195"/>
      <c r="L30" s="195"/>
      <c r="M30" s="201"/>
      <c r="N30" s="197"/>
      <c r="O30" s="198"/>
      <c r="P30" s="295"/>
      <c r="S30" s="662"/>
    </row>
    <row r="31" spans="1:19" s="199" customFormat="1" ht="15.75">
      <c r="A31" s="491" t="str">
        <f t="shared" ca="1" si="0"/>
        <v>UFB-11 Shared Services</v>
      </c>
      <c r="B31" s="491">
        <f>ROW()</f>
        <v>31</v>
      </c>
      <c r="C31" s="491" t="str">
        <f>'Cover Page'!K6</f>
        <v>1026</v>
      </c>
      <c r="D31" s="491">
        <f>'Cover Page'!K4</f>
        <v>2016</v>
      </c>
      <c r="E31" s="491" t="s">
        <v>2031</v>
      </c>
      <c r="F31" s="491" t="s">
        <v>2221</v>
      </c>
      <c r="G31" s="491" t="s">
        <v>2222</v>
      </c>
      <c r="H31" s="505">
        <f>'Cover Page'!M38</f>
        <v>0</v>
      </c>
      <c r="J31" s="384"/>
      <c r="K31" s="195"/>
      <c r="L31" s="195"/>
      <c r="M31" s="201" t="s">
        <v>121</v>
      </c>
      <c r="N31" s="197"/>
      <c r="O31" s="198"/>
      <c r="P31" s="295"/>
      <c r="S31" s="662"/>
    </row>
    <row r="32" spans="1:19" s="199" customFormat="1" ht="15.75">
      <c r="A32" s="491" t="str">
        <f t="shared" ca="1" si="0"/>
        <v>UFB-11 Shared Services</v>
      </c>
      <c r="B32" s="491">
        <f>ROW()</f>
        <v>32</v>
      </c>
      <c r="C32" s="491" t="str">
        <f>'Cover Page'!K6</f>
        <v>1026</v>
      </c>
      <c r="D32" s="491">
        <f>'Cover Page'!K4</f>
        <v>2016</v>
      </c>
      <c r="E32" s="491" t="s">
        <v>2031</v>
      </c>
      <c r="F32" s="491" t="s">
        <v>2221</v>
      </c>
      <c r="G32" s="491" t="s">
        <v>2222</v>
      </c>
      <c r="H32" s="505">
        <f>'Cover Page'!M38</f>
        <v>0</v>
      </c>
      <c r="J32" s="384"/>
      <c r="K32" s="195"/>
      <c r="L32" s="195"/>
      <c r="M32" s="201"/>
      <c r="N32" s="197"/>
      <c r="O32" s="198"/>
      <c r="P32" s="295"/>
      <c r="S32" s="662"/>
    </row>
    <row r="33" spans="1:19" s="199" customFormat="1" ht="15.75">
      <c r="A33" s="491" t="str">
        <f t="shared" ca="1" si="0"/>
        <v>UFB-11 Shared Services</v>
      </c>
      <c r="B33" s="491">
        <f>ROW()</f>
        <v>33</v>
      </c>
      <c r="C33" s="491" t="str">
        <f>'Cover Page'!K6</f>
        <v>1026</v>
      </c>
      <c r="D33" s="491">
        <f>'Cover Page'!K4</f>
        <v>2016</v>
      </c>
      <c r="E33" s="491" t="s">
        <v>2031</v>
      </c>
      <c r="F33" s="491" t="s">
        <v>2221</v>
      </c>
      <c r="G33" s="491" t="s">
        <v>2222</v>
      </c>
      <c r="H33" s="505">
        <f>'Cover Page'!M38</f>
        <v>0</v>
      </c>
      <c r="J33" s="384"/>
      <c r="K33" s="195"/>
      <c r="L33" s="195"/>
      <c r="M33" s="201"/>
      <c r="N33" s="197"/>
      <c r="O33" s="198"/>
      <c r="P33" s="295"/>
      <c r="S33" s="661" t="s">
        <v>281</v>
      </c>
    </row>
    <row r="34" spans="1:19" s="199" customFormat="1" ht="15.75">
      <c r="A34" s="491" t="str">
        <f t="shared" ca="1" si="0"/>
        <v>UFB-11 Shared Services</v>
      </c>
      <c r="B34" s="491">
        <f>ROW()</f>
        <v>34</v>
      </c>
      <c r="C34" s="491" t="str">
        <f>'Cover Page'!K6</f>
        <v>1026</v>
      </c>
      <c r="D34" s="491">
        <f>'Cover Page'!K4</f>
        <v>2016</v>
      </c>
      <c r="E34" s="491" t="s">
        <v>2031</v>
      </c>
      <c r="F34" s="491" t="s">
        <v>2221</v>
      </c>
      <c r="G34" s="491" t="s">
        <v>2222</v>
      </c>
      <c r="H34" s="505">
        <f>'Cover Page'!M38</f>
        <v>0</v>
      </c>
      <c r="J34" s="384"/>
      <c r="K34" s="195"/>
      <c r="L34" s="195"/>
      <c r="M34" s="201"/>
      <c r="N34" s="197"/>
      <c r="O34" s="198"/>
      <c r="P34" s="295"/>
      <c r="S34" s="661" t="s">
        <v>282</v>
      </c>
    </row>
    <row r="35" spans="1:19" s="199" customFormat="1" ht="15.75">
      <c r="A35" s="491" t="str">
        <f t="shared" ca="1" si="0"/>
        <v>UFB-11 Shared Services</v>
      </c>
      <c r="B35" s="491">
        <f>ROW()</f>
        <v>35</v>
      </c>
      <c r="C35" s="491" t="str">
        <f>'Cover Page'!K6</f>
        <v>1026</v>
      </c>
      <c r="D35" s="491">
        <f>'Cover Page'!K4</f>
        <v>2016</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1026</v>
      </c>
      <c r="D36" s="491">
        <f>'Cover Page'!K4</f>
        <v>2016</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1026</v>
      </c>
      <c r="D37" s="491">
        <f>'Cover Page'!K4</f>
        <v>2016</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1026</v>
      </c>
      <c r="D38" s="491">
        <f>'Cover Page'!K4</f>
        <v>2016</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5" t="s">
        <v>208</v>
      </c>
      <c r="K40" s="735"/>
      <c r="L40" s="735"/>
      <c r="M40" s="735"/>
      <c r="N40" s="735"/>
      <c r="O40" s="735"/>
      <c r="P40" s="735"/>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K6" sqref="K6:T6"/>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1026</v>
      </c>
      <c r="D1" s="491">
        <f>'Cover Page'!K4</f>
        <v>2016</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1026</v>
      </c>
      <c r="D2" s="491">
        <f>'Cover Page'!K4</f>
        <v>2016</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1026</v>
      </c>
      <c r="D3" s="491">
        <f>'Cover Page'!K4</f>
        <v>2016</v>
      </c>
      <c r="E3" s="491" t="s">
        <v>2031</v>
      </c>
      <c r="F3" s="491" t="s">
        <v>2223</v>
      </c>
      <c r="G3" s="491" t="s">
        <v>121</v>
      </c>
      <c r="H3" s="505">
        <f>'Cover Page'!M38</f>
        <v>0</v>
      </c>
      <c r="K3" s="458" t="s">
        <v>304</v>
      </c>
    </row>
    <row r="4" spans="1:20">
      <c r="A4" s="491" t="str">
        <f t="shared" ca="1" si="0"/>
        <v>UFB-12 Auth. &amp; Fire Dist.</v>
      </c>
      <c r="B4" s="491">
        <f>ROW()</f>
        <v>4</v>
      </c>
      <c r="C4" s="491" t="str">
        <f>'Cover Page'!K6</f>
        <v>1026</v>
      </c>
      <c r="D4" s="491">
        <f>'Cover Page'!K4</f>
        <v>2016</v>
      </c>
      <c r="E4" s="491" t="s">
        <v>2031</v>
      </c>
      <c r="F4" s="491" t="s">
        <v>2223</v>
      </c>
      <c r="G4" s="491" t="s">
        <v>2223</v>
      </c>
      <c r="H4" s="505">
        <f>'Cover Page'!M38</f>
        <v>0</v>
      </c>
      <c r="K4" s="680"/>
      <c r="L4" s="736"/>
      <c r="M4" s="736"/>
      <c r="N4" s="736"/>
      <c r="O4" s="736"/>
      <c r="P4" s="736"/>
      <c r="Q4" s="736"/>
      <c r="R4" s="736"/>
      <c r="S4" s="736"/>
      <c r="T4" s="737"/>
    </row>
    <row r="5" spans="1:20">
      <c r="A5" s="491" t="str">
        <f t="shared" ca="1" si="0"/>
        <v>UFB-12 Auth. &amp; Fire Dist.</v>
      </c>
      <c r="B5" s="491">
        <f>ROW()</f>
        <v>5</v>
      </c>
      <c r="C5" s="491" t="str">
        <f>'Cover Page'!K6</f>
        <v>1026</v>
      </c>
      <c r="D5" s="491">
        <f>'Cover Page'!K4</f>
        <v>2016</v>
      </c>
      <c r="E5" s="491" t="s">
        <v>2031</v>
      </c>
      <c r="F5" s="491" t="s">
        <v>2223</v>
      </c>
      <c r="G5" s="491" t="s">
        <v>2223</v>
      </c>
      <c r="H5" s="505">
        <f>'Cover Page'!M38</f>
        <v>0</v>
      </c>
      <c r="K5" s="680"/>
      <c r="L5" s="736"/>
      <c r="M5" s="736"/>
      <c r="N5" s="736"/>
      <c r="O5" s="736"/>
      <c r="P5" s="736"/>
      <c r="Q5" s="736"/>
      <c r="R5" s="736"/>
      <c r="S5" s="736"/>
      <c r="T5" s="737"/>
    </row>
    <row r="6" spans="1:20">
      <c r="A6" s="491" t="str">
        <f t="shared" ca="1" si="0"/>
        <v>UFB-12 Auth. &amp; Fire Dist.</v>
      </c>
      <c r="B6" s="491">
        <f>ROW()</f>
        <v>6</v>
      </c>
      <c r="C6" s="491" t="str">
        <f>'Cover Page'!K6</f>
        <v>1026</v>
      </c>
      <c r="D6" s="491">
        <f>'Cover Page'!K4</f>
        <v>2016</v>
      </c>
      <c r="E6" s="491" t="s">
        <v>2031</v>
      </c>
      <c r="F6" s="491" t="s">
        <v>2223</v>
      </c>
      <c r="G6" s="491" t="s">
        <v>2223</v>
      </c>
      <c r="H6" s="505">
        <f>'Cover Page'!M38</f>
        <v>0</v>
      </c>
      <c r="K6" s="680" t="s">
        <v>2338</v>
      </c>
      <c r="L6" s="736"/>
      <c r="M6" s="736"/>
      <c r="N6" s="736"/>
      <c r="O6" s="736"/>
      <c r="P6" s="736"/>
      <c r="Q6" s="736"/>
      <c r="R6" s="736"/>
      <c r="S6" s="736"/>
      <c r="T6" s="737"/>
    </row>
    <row r="7" spans="1:20">
      <c r="A7" s="491" t="str">
        <f t="shared" ca="1" si="0"/>
        <v>UFB-12 Auth. &amp; Fire Dist.</v>
      </c>
      <c r="B7" s="491">
        <f>ROW()</f>
        <v>7</v>
      </c>
      <c r="C7" s="491" t="str">
        <f>'Cover Page'!K6</f>
        <v>1026</v>
      </c>
      <c r="D7" s="491">
        <f>'Cover Page'!K4</f>
        <v>2016</v>
      </c>
      <c r="E7" s="491" t="s">
        <v>2031</v>
      </c>
      <c r="F7" s="491" t="s">
        <v>2223</v>
      </c>
      <c r="G7" s="491" t="s">
        <v>2223</v>
      </c>
      <c r="H7" s="505">
        <f>'Cover Page'!M38</f>
        <v>0</v>
      </c>
      <c r="K7" s="680"/>
      <c r="L7" s="736"/>
      <c r="M7" s="736"/>
      <c r="N7" s="736"/>
      <c r="O7" s="736"/>
      <c r="P7" s="736"/>
      <c r="Q7" s="736"/>
      <c r="R7" s="736"/>
      <c r="S7" s="736"/>
      <c r="T7" s="737"/>
    </row>
    <row r="8" spans="1:20">
      <c r="A8" s="491" t="str">
        <f t="shared" ca="1" si="0"/>
        <v>UFB-12 Auth. &amp; Fire Dist.</v>
      </c>
      <c r="B8" s="491">
        <f>ROW()</f>
        <v>8</v>
      </c>
      <c r="C8" s="491" t="str">
        <f>'Cover Page'!K6</f>
        <v>1026</v>
      </c>
      <c r="D8" s="491">
        <f>'Cover Page'!K4</f>
        <v>2016</v>
      </c>
      <c r="E8" s="491" t="s">
        <v>2031</v>
      </c>
      <c r="F8" s="491" t="s">
        <v>2223</v>
      </c>
      <c r="G8" s="491" t="s">
        <v>2223</v>
      </c>
      <c r="H8" s="505">
        <f>'Cover Page'!M38</f>
        <v>0</v>
      </c>
      <c r="K8" s="680"/>
      <c r="L8" s="736"/>
      <c r="M8" s="736"/>
      <c r="N8" s="736"/>
      <c r="O8" s="736"/>
      <c r="P8" s="736"/>
      <c r="Q8" s="736"/>
      <c r="R8" s="736"/>
      <c r="S8" s="736"/>
      <c r="T8" s="737"/>
    </row>
    <row r="9" spans="1:20">
      <c r="A9" s="491" t="str">
        <f t="shared" ca="1" si="0"/>
        <v>UFB-12 Auth. &amp; Fire Dist.</v>
      </c>
      <c r="B9" s="491">
        <f>ROW()</f>
        <v>9</v>
      </c>
      <c r="C9" s="491" t="str">
        <f>'Cover Page'!K6</f>
        <v>1026</v>
      </c>
      <c r="D9" s="491">
        <f>'Cover Page'!K4</f>
        <v>2016</v>
      </c>
      <c r="E9" s="491" t="s">
        <v>2031</v>
      </c>
      <c r="F9" s="491" t="s">
        <v>2223</v>
      </c>
      <c r="G9" s="491" t="s">
        <v>2223</v>
      </c>
      <c r="H9" s="505">
        <f>'Cover Page'!M38</f>
        <v>0</v>
      </c>
      <c r="K9" s="680"/>
      <c r="L9" s="736"/>
      <c r="M9" s="736"/>
      <c r="N9" s="736"/>
      <c r="O9" s="736"/>
      <c r="P9" s="736"/>
      <c r="Q9" s="736"/>
      <c r="R9" s="736"/>
      <c r="S9" s="736"/>
      <c r="T9" s="737"/>
    </row>
    <row r="10" spans="1:20">
      <c r="A10" s="491" t="str">
        <f ca="1">MID(CELL("filename",A10),FIND("]",CELL("filename",A10))+1,256)</f>
        <v>UFB-12 Auth. &amp; Fire Dist.</v>
      </c>
      <c r="B10" s="491">
        <f>ROW()</f>
        <v>10</v>
      </c>
      <c r="C10" s="491" t="str">
        <f>'Cover Page'!K6</f>
        <v>1026</v>
      </c>
      <c r="D10" s="491">
        <f>'Cover Page'!K4</f>
        <v>2016</v>
      </c>
      <c r="E10" s="491" t="s">
        <v>2031</v>
      </c>
      <c r="F10" s="491" t="s">
        <v>2223</v>
      </c>
      <c r="G10" s="491" t="s">
        <v>2223</v>
      </c>
      <c r="H10" s="505">
        <f>'Cover Page'!M38</f>
        <v>0</v>
      </c>
      <c r="K10" s="680"/>
      <c r="L10" s="736"/>
      <c r="M10" s="736"/>
      <c r="N10" s="736"/>
      <c r="O10" s="736"/>
      <c r="P10" s="736"/>
      <c r="Q10" s="736"/>
      <c r="R10" s="736"/>
      <c r="S10" s="736"/>
      <c r="T10" s="737"/>
    </row>
    <row r="11" spans="1:20">
      <c r="A11" s="491" t="str">
        <f ca="1">MID(CELL("filename",A11),FIND("]",CELL("filename",A11))+1,256)</f>
        <v>UFB-12 Auth. &amp; Fire Dist.</v>
      </c>
      <c r="B11" s="491">
        <f>ROW()</f>
        <v>11</v>
      </c>
      <c r="C11" s="491" t="str">
        <f>'Cover Page'!K6</f>
        <v>1026</v>
      </c>
      <c r="D11" s="491">
        <f>'Cover Page'!K4</f>
        <v>2016</v>
      </c>
      <c r="E11" s="491" t="s">
        <v>2031</v>
      </c>
      <c r="F11" s="491" t="s">
        <v>2223</v>
      </c>
      <c r="G11" s="491" t="s">
        <v>2223</v>
      </c>
      <c r="H11" s="505">
        <f>'Cover Page'!M38</f>
        <v>0</v>
      </c>
      <c r="K11" s="680"/>
      <c r="L11" s="736"/>
      <c r="M11" s="736"/>
      <c r="N11" s="736"/>
      <c r="O11" s="736"/>
      <c r="P11" s="736"/>
      <c r="Q11" s="736"/>
      <c r="R11" s="736"/>
      <c r="S11" s="736"/>
      <c r="T11" s="737"/>
    </row>
    <row r="12" spans="1:20">
      <c r="A12" s="491" t="str">
        <f ca="1">MID(CELL("filename",A12),FIND("]",CELL("filename",A12))+1,256)</f>
        <v>UFB-12 Auth. &amp; Fire Dist.</v>
      </c>
      <c r="B12" s="491">
        <f>ROW()</f>
        <v>12</v>
      </c>
      <c r="C12" s="491" t="str">
        <f>'Cover Page'!K6</f>
        <v>1026</v>
      </c>
      <c r="D12" s="491">
        <f>'Cover Page'!K4</f>
        <v>2016</v>
      </c>
      <c r="E12" s="491" t="s">
        <v>2031</v>
      </c>
      <c r="F12" s="491" t="s">
        <v>2223</v>
      </c>
      <c r="G12" s="491" t="s">
        <v>2223</v>
      </c>
      <c r="H12" s="505">
        <f>'Cover Page'!M38</f>
        <v>0</v>
      </c>
      <c r="K12" s="680"/>
      <c r="L12" s="736"/>
      <c r="M12" s="736"/>
      <c r="N12" s="736"/>
      <c r="O12" s="736"/>
      <c r="P12" s="736"/>
      <c r="Q12" s="736"/>
      <c r="R12" s="736"/>
      <c r="S12" s="736"/>
      <c r="T12" s="737"/>
    </row>
    <row r="13" spans="1:20">
      <c r="A13" s="491" t="str">
        <f ca="1">MID(CELL("filename",A13),FIND("]",CELL("filename",A13))+1,256)</f>
        <v>UFB-12 Auth. &amp; Fire Dist.</v>
      </c>
      <c r="B13" s="491">
        <f>ROW()</f>
        <v>13</v>
      </c>
      <c r="C13" s="491" t="str">
        <f>'Cover Page'!K6</f>
        <v>1026</v>
      </c>
      <c r="D13" s="491">
        <f>'Cover Page'!K4</f>
        <v>2016</v>
      </c>
      <c r="E13" s="491" t="s">
        <v>2031</v>
      </c>
      <c r="F13" s="491" t="s">
        <v>2223</v>
      </c>
      <c r="G13" s="491" t="s">
        <v>2223</v>
      </c>
      <c r="H13" s="505">
        <f>'Cover Page'!M38</f>
        <v>0</v>
      </c>
      <c r="K13" s="680"/>
      <c r="L13" s="736"/>
      <c r="M13" s="736"/>
      <c r="N13" s="736"/>
      <c r="O13" s="736"/>
      <c r="P13" s="736"/>
      <c r="Q13" s="736"/>
      <c r="R13" s="736"/>
      <c r="S13" s="736"/>
      <c r="T13" s="737"/>
    </row>
    <row r="14" spans="1:20">
      <c r="A14" s="491" t="str">
        <f t="shared" ca="1" si="0"/>
        <v>UFB-12 Auth. &amp; Fire Dist.</v>
      </c>
      <c r="B14" s="491">
        <f>ROW()</f>
        <v>14</v>
      </c>
      <c r="C14" s="491" t="str">
        <f>'Cover Page'!K6</f>
        <v>1026</v>
      </c>
      <c r="D14" s="491">
        <f>'Cover Page'!K4</f>
        <v>2016</v>
      </c>
      <c r="E14" s="491" t="s">
        <v>2031</v>
      </c>
      <c r="F14" s="491" t="s">
        <v>2223</v>
      </c>
      <c r="G14" s="491" t="s">
        <v>2223</v>
      </c>
      <c r="H14" s="505">
        <f>'Cover Page'!M38</f>
        <v>0</v>
      </c>
      <c r="K14" s="680"/>
      <c r="L14" s="736"/>
      <c r="M14" s="736"/>
      <c r="N14" s="736"/>
      <c r="O14" s="736"/>
      <c r="P14" s="736"/>
      <c r="Q14" s="736"/>
      <c r="R14" s="736"/>
      <c r="S14" s="736"/>
      <c r="T14" s="737"/>
    </row>
    <row r="15" spans="1:20">
      <c r="A15" s="491" t="str">
        <f t="shared" ca="1" si="0"/>
        <v>UFB-12 Auth. &amp; Fire Dist.</v>
      </c>
      <c r="B15" s="491">
        <f>ROW()</f>
        <v>15</v>
      </c>
      <c r="C15" s="491" t="str">
        <f>'Cover Page'!K6</f>
        <v>1026</v>
      </c>
      <c r="D15" s="491">
        <f>'Cover Page'!K4</f>
        <v>2016</v>
      </c>
      <c r="E15" s="491" t="s">
        <v>2031</v>
      </c>
      <c r="F15" s="491" t="s">
        <v>2223</v>
      </c>
      <c r="G15" s="491" t="s">
        <v>2223</v>
      </c>
      <c r="H15" s="505">
        <f>'Cover Page'!M38</f>
        <v>0</v>
      </c>
      <c r="K15" s="680"/>
      <c r="L15" s="736"/>
      <c r="M15" s="736"/>
      <c r="N15" s="736"/>
      <c r="O15" s="736"/>
      <c r="P15" s="736"/>
      <c r="Q15" s="736"/>
      <c r="R15" s="736"/>
      <c r="S15" s="736"/>
      <c r="T15" s="737"/>
    </row>
    <row r="16" spans="1:20">
      <c r="A16" s="491" t="str">
        <f t="shared" ca="1" si="0"/>
        <v>UFB-12 Auth. &amp; Fire Dist.</v>
      </c>
      <c r="B16" s="491">
        <f>ROW()</f>
        <v>16</v>
      </c>
      <c r="C16" s="491" t="str">
        <f>'Cover Page'!K6</f>
        <v>1026</v>
      </c>
      <c r="D16" s="491">
        <f>'Cover Page'!K4</f>
        <v>2016</v>
      </c>
      <c r="E16" s="491" t="s">
        <v>2031</v>
      </c>
      <c r="F16" s="491" t="s">
        <v>2223</v>
      </c>
      <c r="G16" s="491" t="s">
        <v>2223</v>
      </c>
      <c r="H16" s="505">
        <f>'Cover Page'!M38</f>
        <v>0</v>
      </c>
      <c r="K16" s="680"/>
      <c r="L16" s="736"/>
      <c r="M16" s="736"/>
      <c r="N16" s="736"/>
      <c r="O16" s="736"/>
      <c r="P16" s="736"/>
      <c r="Q16" s="736"/>
      <c r="R16" s="736"/>
      <c r="S16" s="736"/>
      <c r="T16" s="737"/>
    </row>
    <row r="17" spans="1:20">
      <c r="A17" s="491" t="str">
        <f t="shared" ca="1" si="0"/>
        <v>UFB-12 Auth. &amp; Fire Dist.</v>
      </c>
      <c r="B17" s="491">
        <f>ROW()</f>
        <v>17</v>
      </c>
      <c r="C17" s="491" t="str">
        <f>'Cover Page'!K6</f>
        <v>1026</v>
      </c>
      <c r="D17" s="491">
        <f>'Cover Page'!K4</f>
        <v>2016</v>
      </c>
      <c r="E17" s="491" t="s">
        <v>2031</v>
      </c>
      <c r="F17" s="491" t="s">
        <v>2223</v>
      </c>
      <c r="G17" s="491" t="s">
        <v>2223</v>
      </c>
      <c r="H17" s="505">
        <f>'Cover Page'!M38</f>
        <v>0</v>
      </c>
      <c r="K17" s="680"/>
      <c r="L17" s="736"/>
      <c r="M17" s="736"/>
      <c r="N17" s="736"/>
      <c r="O17" s="736"/>
      <c r="P17" s="736"/>
      <c r="Q17" s="736"/>
      <c r="R17" s="736"/>
      <c r="S17" s="736"/>
      <c r="T17" s="737"/>
    </row>
    <row r="18" spans="1:20">
      <c r="A18" s="491" t="str">
        <f t="shared" ca="1" si="0"/>
        <v>UFB-12 Auth. &amp; Fire Dist.</v>
      </c>
      <c r="B18" s="491">
        <f>ROW()</f>
        <v>18</v>
      </c>
      <c r="C18" s="491" t="str">
        <f>'Cover Page'!K6</f>
        <v>1026</v>
      </c>
      <c r="D18" s="491">
        <f>'Cover Page'!K4</f>
        <v>2016</v>
      </c>
      <c r="E18" s="491" t="s">
        <v>2031</v>
      </c>
      <c r="F18" s="491" t="s">
        <v>2223</v>
      </c>
      <c r="G18" s="491" t="s">
        <v>2223</v>
      </c>
      <c r="H18" s="505">
        <f>'Cover Page'!M38</f>
        <v>0</v>
      </c>
      <c r="K18" s="680"/>
      <c r="L18" s="736"/>
      <c r="M18" s="736"/>
      <c r="N18" s="736"/>
      <c r="O18" s="736"/>
      <c r="P18" s="736"/>
      <c r="Q18" s="736"/>
      <c r="R18" s="736"/>
      <c r="S18" s="736"/>
      <c r="T18" s="737"/>
    </row>
    <row r="19" spans="1:20">
      <c r="A19" s="491" t="str">
        <f t="shared" ca="1" si="0"/>
        <v>UFB-12 Auth. &amp; Fire Dist.</v>
      </c>
      <c r="B19" s="491">
        <f>ROW()</f>
        <v>19</v>
      </c>
      <c r="C19" s="491" t="str">
        <f>'Cover Page'!K6</f>
        <v>1026</v>
      </c>
      <c r="D19" s="491">
        <f>'Cover Page'!K4</f>
        <v>2016</v>
      </c>
      <c r="E19" s="491" t="s">
        <v>2031</v>
      </c>
      <c r="F19" s="491" t="s">
        <v>2223</v>
      </c>
      <c r="G19" s="491" t="s">
        <v>2223</v>
      </c>
      <c r="H19" s="505">
        <f>'Cover Page'!M38</f>
        <v>0</v>
      </c>
      <c r="K19" s="680"/>
      <c r="L19" s="736"/>
      <c r="M19" s="736"/>
      <c r="N19" s="736"/>
      <c r="O19" s="736"/>
      <c r="P19" s="736"/>
      <c r="Q19" s="736"/>
      <c r="R19" s="736"/>
      <c r="S19" s="736"/>
      <c r="T19" s="737"/>
    </row>
    <row r="20" spans="1:20">
      <c r="A20" s="491" t="str">
        <f t="shared" ca="1" si="0"/>
        <v>UFB-12 Auth. &amp; Fire Dist.</v>
      </c>
      <c r="B20" s="491">
        <f>ROW()</f>
        <v>20</v>
      </c>
      <c r="C20" s="491" t="str">
        <f>'Cover Page'!K6</f>
        <v>1026</v>
      </c>
      <c r="D20" s="491">
        <f>'Cover Page'!K4</f>
        <v>2016</v>
      </c>
      <c r="E20" s="491" t="s">
        <v>2031</v>
      </c>
      <c r="F20" s="491" t="s">
        <v>2223</v>
      </c>
      <c r="G20" s="491" t="s">
        <v>2223</v>
      </c>
      <c r="H20" s="505">
        <f>'Cover Page'!M38</f>
        <v>0</v>
      </c>
      <c r="K20" s="680"/>
      <c r="L20" s="736"/>
      <c r="M20" s="736"/>
      <c r="N20" s="736"/>
      <c r="O20" s="736"/>
      <c r="P20" s="736"/>
      <c r="Q20" s="736"/>
      <c r="R20" s="736"/>
      <c r="S20" s="736"/>
      <c r="T20" s="737"/>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5" t="s">
        <v>2293</v>
      </c>
      <c r="K1" s="685"/>
      <c r="L1" s="685"/>
    </row>
    <row r="3" spans="1:12" s="1" customFormat="1" ht="12.75">
      <c r="A3" s="491" t="str">
        <f ca="1">MID(CELL("filename",A4),FIND("]",CELL("filename",A4))+1,256)</f>
        <v>Notes</v>
      </c>
      <c r="B3" s="491">
        <f>ROW()</f>
        <v>3</v>
      </c>
      <c r="C3" s="491" t="str">
        <f>'Cover Page'!K6</f>
        <v>1026</v>
      </c>
      <c r="D3" s="491">
        <f>'Cover Page'!K4</f>
        <v>2016</v>
      </c>
      <c r="E3" s="491" t="s">
        <v>2031</v>
      </c>
      <c r="F3" s="491" t="s">
        <v>2291</v>
      </c>
      <c r="G3" s="491"/>
      <c r="H3" s="505">
        <f>'Cover Page'!M38</f>
        <v>0</v>
      </c>
      <c r="J3" s="643" t="s">
        <v>2294</v>
      </c>
    </row>
    <row r="4" spans="1:12" s="41" customFormat="1" ht="399.95" customHeight="1">
      <c r="A4" s="491" t="str">
        <f ca="1">MID(CELL("filename",A4),FIND("]",CELL("filename",A4))+1,256)</f>
        <v>Notes</v>
      </c>
      <c r="B4" s="491">
        <f>ROW()</f>
        <v>4</v>
      </c>
      <c r="C4" s="491" t="str">
        <f>'Cover Page'!K6</f>
        <v>1026</v>
      </c>
      <c r="D4" s="491">
        <f>'Cover Page'!K4</f>
        <v>2016</v>
      </c>
      <c r="E4" s="491" t="s">
        <v>2031</v>
      </c>
      <c r="F4" s="491" t="s">
        <v>2291</v>
      </c>
      <c r="G4" s="491" t="s">
        <v>121</v>
      </c>
      <c r="H4" s="505">
        <f>'Cover Page'!M38</f>
        <v>0</v>
      </c>
      <c r="J4" s="642" t="s">
        <v>2292</v>
      </c>
      <c r="K4" s="640"/>
      <c r="L4" s="641"/>
    </row>
    <row r="5" spans="1:12" s="41" customFormat="1" ht="399.95" customHeight="1">
      <c r="A5" s="491" t="str">
        <f ca="1">MID(CELL("filename",A5),FIND("]",CELL("filename",A5))+1,256)</f>
        <v>Notes</v>
      </c>
      <c r="B5" s="491">
        <f>ROW()</f>
        <v>5</v>
      </c>
      <c r="C5" s="491" t="str">
        <f>'Cover Page'!K6</f>
        <v>1026</v>
      </c>
      <c r="D5" s="491">
        <f>'Cover Page'!K4</f>
        <v>2016</v>
      </c>
      <c r="E5" s="491" t="s">
        <v>2031</v>
      </c>
      <c r="F5" s="491" t="s">
        <v>2291</v>
      </c>
      <c r="G5" s="491" t="s">
        <v>121</v>
      </c>
      <c r="H5" s="505">
        <f>'Cover Page'!M38</f>
        <v>0</v>
      </c>
      <c r="J5" s="641"/>
      <c r="K5" s="640"/>
      <c r="L5" s="641"/>
    </row>
    <row r="6" spans="1:12" s="41" customFormat="1" ht="0.75" customHeight="1">
      <c r="A6" s="491" t="str">
        <f ca="1">MID(CELL("filename",A6),FIND("]",CELL("filename",A6))+1,256)</f>
        <v>Notes</v>
      </c>
      <c r="B6" s="491">
        <f>ROW()</f>
        <v>6</v>
      </c>
      <c r="C6" s="491" t="str">
        <f>'Cover Page'!K6</f>
        <v>1026</v>
      </c>
      <c r="D6" s="491">
        <f>'Cover Page'!K4</f>
        <v>2016</v>
      </c>
      <c r="E6" s="491" t="s">
        <v>2031</v>
      </c>
      <c r="F6" s="491" t="s">
        <v>2291</v>
      </c>
      <c r="G6" s="491" t="s">
        <v>121</v>
      </c>
      <c r="H6" s="505">
        <f>'Cover Page'!M38</f>
        <v>0</v>
      </c>
      <c r="J6" s="212"/>
    </row>
    <row r="7" spans="1:12" s="1" customFormat="1" ht="12.75">
      <c r="A7" s="491" t="str">
        <f ca="1">MID(CELL("filename",A7),FIND("]",CELL("filename",A7))+1,256)</f>
        <v>Notes</v>
      </c>
      <c r="B7" s="491">
        <f>ROW()</f>
        <v>7</v>
      </c>
      <c r="C7" s="491" t="str">
        <f>'Cover Page'!K6</f>
        <v>1026</v>
      </c>
      <c r="D7" s="491">
        <f>'Cover Page'!K4</f>
        <v>2016</v>
      </c>
      <c r="E7" s="491" t="s">
        <v>2031</v>
      </c>
      <c r="F7" s="491" t="s">
        <v>2291</v>
      </c>
      <c r="G7" s="491" t="s">
        <v>121</v>
      </c>
      <c r="H7" s="505">
        <f>'Cover Page'!M38</f>
        <v>0</v>
      </c>
      <c r="J7" s="26"/>
    </row>
    <row r="8" spans="1:12" s="1" customFormat="1" ht="12.75">
      <c r="A8" s="491" t="str">
        <f ca="1">MID(CELL("filename",A8),FIND("]",CELL("filename",A8))+1,256)</f>
        <v>Notes</v>
      </c>
      <c r="B8" s="491">
        <f>ROW()</f>
        <v>8</v>
      </c>
      <c r="C8" s="491" t="str">
        <f>'Cover Page'!K6</f>
        <v>1026</v>
      </c>
      <c r="D8" s="491">
        <f>'Cover Page'!K4</f>
        <v>2016</v>
      </c>
      <c r="E8" s="491" t="s">
        <v>2031</v>
      </c>
      <c r="F8" s="491" t="s">
        <v>2291</v>
      </c>
      <c r="G8" s="491" t="s">
        <v>121</v>
      </c>
      <c r="H8" s="505">
        <f>'Cover Page'!M38</f>
        <v>0</v>
      </c>
      <c r="I8" s="1" t="s">
        <v>121</v>
      </c>
      <c r="J8" s="26"/>
    </row>
  </sheetData>
  <sheetProtection password="C7B6" sheet="1" objects="1" scenarios="1"/>
  <mergeCells count="1">
    <mergeCell ref="J1:L1"/>
  </mergeCells>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5" t="s">
        <v>2264</v>
      </c>
      <c r="K5" t="s">
        <v>2265</v>
      </c>
    </row>
    <row r="6" spans="10:11">
      <c r="J6" s="556" t="s">
        <v>2247</v>
      </c>
    </row>
    <row r="7" spans="10:11">
      <c r="J7" s="556" t="s">
        <v>2248</v>
      </c>
    </row>
    <row r="8" spans="10:11">
      <c r="J8" s="556" t="s">
        <v>2249</v>
      </c>
    </row>
    <row r="9" spans="10:11">
      <c r="J9" s="556" t="s">
        <v>2250</v>
      </c>
    </row>
    <row r="10" spans="10:11">
      <c r="J10" s="556" t="s">
        <v>2251</v>
      </c>
    </row>
    <row r="11" spans="10:11">
      <c r="J11" s="555" t="s">
        <v>2252</v>
      </c>
    </row>
    <row r="12" spans="10:11">
      <c r="J12" s="556" t="s">
        <v>2253</v>
      </c>
    </row>
    <row r="13" spans="10:11">
      <c r="J13" s="556" t="s">
        <v>2254</v>
      </c>
    </row>
    <row r="14" spans="10:11">
      <c r="J14" s="507" t="s">
        <v>2238</v>
      </c>
    </row>
    <row r="15" spans="10:11">
      <c r="J15" s="556" t="s">
        <v>2255</v>
      </c>
    </row>
    <row r="16" spans="10:11">
      <c r="J16" s="556" t="s">
        <v>2256</v>
      </c>
    </row>
    <row r="17" spans="10:10">
      <c r="J17" s="555" t="s">
        <v>2257</v>
      </c>
    </row>
    <row r="18" spans="10:10">
      <c r="J18" s="555" t="s">
        <v>2239</v>
      </c>
    </row>
    <row r="19" spans="10:10">
      <c r="J19" s="555" t="s">
        <v>2258</v>
      </c>
    </row>
    <row r="20" spans="10:10">
      <c r="J20" s="555" t="s">
        <v>2259</v>
      </c>
    </row>
    <row r="21" spans="10:10">
      <c r="J21" s="555" t="s">
        <v>2260</v>
      </c>
    </row>
    <row r="22" spans="10:10">
      <c r="J22" s="507" t="s">
        <v>2240</v>
      </c>
    </row>
    <row r="23" spans="10:10">
      <c r="J23" s="507" t="s">
        <v>2241</v>
      </c>
    </row>
    <row r="24" spans="10:10">
      <c r="J24" s="507" t="s">
        <v>2242</v>
      </c>
    </row>
    <row r="25" spans="10:10">
      <c r="J25" s="507" t="s">
        <v>2243</v>
      </c>
    </row>
    <row r="26" spans="10:10">
      <c r="J26" s="555" t="s">
        <v>2261</v>
      </c>
    </row>
    <row r="27" spans="10:10">
      <c r="J27" s="507" t="s">
        <v>2244</v>
      </c>
    </row>
    <row r="28" spans="10:10">
      <c r="J28" s="555" t="s">
        <v>2262</v>
      </c>
    </row>
    <row r="29" spans="10:10">
      <c r="J29" s="555"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19" workbookViewId="0">
      <selection activeCell="R16" sqref="R16"/>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1026</v>
      </c>
      <c r="D1" s="491">
        <f>'Cover Page'!K4</f>
        <v>2016</v>
      </c>
      <c r="E1" s="491" t="s">
        <v>2031</v>
      </c>
      <c r="F1" s="493" t="s">
        <v>2065</v>
      </c>
      <c r="G1" s="491"/>
      <c r="H1" s="505">
        <f>'Cover Page'!M38</f>
        <v>0</v>
      </c>
      <c r="I1" s="432"/>
      <c r="J1" s="685" t="s">
        <v>266</v>
      </c>
      <c r="K1" s="685"/>
      <c r="L1" s="685"/>
      <c r="M1" s="685"/>
      <c r="N1" s="685"/>
      <c r="O1" s="685"/>
      <c r="P1" s="685"/>
      <c r="Q1" s="685"/>
      <c r="R1" s="685"/>
      <c r="S1" s="685"/>
      <c r="T1" s="685"/>
    </row>
    <row r="2" spans="1:20" ht="15">
      <c r="A2" s="491" t="str">
        <f ca="1">MID(CELL("filename",A2),FIND("]",CELL("filename",A2))+1,256)</f>
        <v>UFB-1 Tax Impact</v>
      </c>
      <c r="B2" s="491">
        <f>ROW()</f>
        <v>2</v>
      </c>
      <c r="C2" s="491" t="str">
        <f>'Cover Page'!K6</f>
        <v>1026</v>
      </c>
      <c r="D2" s="491">
        <f>'Cover Page'!K4</f>
        <v>2016</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1026</v>
      </c>
      <c r="D3" s="491">
        <f>'Cover Page'!K4</f>
        <v>2016</v>
      </c>
      <c r="E3" s="491" t="s">
        <v>2031</v>
      </c>
      <c r="F3" s="493" t="s">
        <v>2065</v>
      </c>
      <c r="G3" s="491" t="s">
        <v>121</v>
      </c>
      <c r="H3" s="505">
        <f>'Cover Page'!M38</f>
        <v>0</v>
      </c>
      <c r="I3" s="432"/>
      <c r="J3" s="688" t="str">
        <f>'Cover Page'!K4-1&amp;" Calendar Year Property Tax Levies - ALL entities levying property taxes"</f>
        <v>2015 Calendar Year Property Tax Levies - ALL entities levying property taxes</v>
      </c>
      <c r="K3" s="689"/>
      <c r="L3" s="689"/>
      <c r="M3" s="689"/>
      <c r="N3" s="689"/>
      <c r="O3" s="302"/>
      <c r="P3" s="321"/>
      <c r="Q3" s="686" t="str">
        <f>"Current Year "&amp;'Cover Page'!K4&amp;" Budget"</f>
        <v>Current Year 2016 Budget</v>
      </c>
      <c r="R3" s="687"/>
      <c r="S3" s="306"/>
      <c r="T3" s="305"/>
    </row>
    <row r="4" spans="1:20" ht="15">
      <c r="A4" s="491" t="str">
        <f t="shared" ca="1" si="0"/>
        <v>UFB-1 Tax Impact</v>
      </c>
      <c r="B4" s="491">
        <f>ROW()</f>
        <v>4</v>
      </c>
      <c r="C4" s="491" t="str">
        <f>'Cover Page'!K6</f>
        <v>1026</v>
      </c>
      <c r="D4" s="491">
        <f>'Cover Page'!K4</f>
        <v>2016</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1026</v>
      </c>
      <c r="D5" s="491">
        <f>'Cover Page'!K4</f>
        <v>2016</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1026</v>
      </c>
      <c r="D6" s="491">
        <f>'Cover Page'!K4</f>
        <v>2016</v>
      </c>
      <c r="E6" s="491" t="s">
        <v>2031</v>
      </c>
      <c r="F6" s="493" t="s">
        <v>2065</v>
      </c>
      <c r="G6" s="491" t="s">
        <v>2066</v>
      </c>
      <c r="H6" s="505">
        <f>'Cover Page'!M38</f>
        <v>0</v>
      </c>
      <c r="I6" s="491" t="s">
        <v>2066</v>
      </c>
      <c r="J6" s="13"/>
      <c r="K6" s="22" t="s">
        <v>9</v>
      </c>
      <c r="L6" s="308">
        <v>0.26</v>
      </c>
      <c r="M6" s="253">
        <v>1280087</v>
      </c>
      <c r="N6" s="23">
        <f>M6/M19</f>
        <v>0.11331015235993074</v>
      </c>
      <c r="O6" s="529">
        <f t="shared" ref="O6:O17" si="1">(+M$23/100)*L6</f>
        <v>1040</v>
      </c>
      <c r="P6" s="322"/>
      <c r="Q6" s="22" t="s">
        <v>9</v>
      </c>
      <c r="R6" s="602" t="s">
        <v>10</v>
      </c>
      <c r="S6" s="615">
        <v>1371122</v>
      </c>
      <c r="T6" s="325"/>
    </row>
    <row r="7" spans="1:20" s="20" customFormat="1">
      <c r="A7" s="491" t="str">
        <f t="shared" ca="1" si="0"/>
        <v>UFB-1 Tax Impact</v>
      </c>
      <c r="B7" s="491">
        <f>ROW()</f>
        <v>7</v>
      </c>
      <c r="C7" s="491" t="str">
        <f>'Cover Page'!K6</f>
        <v>1026</v>
      </c>
      <c r="D7" s="491">
        <f>'Cover Page'!K4</f>
        <v>2016</v>
      </c>
      <c r="E7" s="491" t="s">
        <v>2031</v>
      </c>
      <c r="F7" s="493" t="s">
        <v>2065</v>
      </c>
      <c r="G7" s="491" t="s">
        <v>2067</v>
      </c>
      <c r="H7" s="505">
        <f>'Cover Page'!M38</f>
        <v>0</v>
      </c>
      <c r="I7" s="491" t="s">
        <v>2067</v>
      </c>
      <c r="J7" s="13"/>
      <c r="K7" s="516" t="s">
        <v>11</v>
      </c>
      <c r="L7" s="530"/>
      <c r="M7" s="531"/>
      <c r="N7" s="23">
        <f>M7/M19</f>
        <v>0</v>
      </c>
      <c r="O7" s="532">
        <f t="shared" si="1"/>
        <v>0</v>
      </c>
      <c r="P7" s="322"/>
      <c r="Q7" s="20" t="s">
        <v>11</v>
      </c>
      <c r="R7" s="602"/>
      <c r="S7" s="616"/>
      <c r="T7" s="326"/>
    </row>
    <row r="8" spans="1:20" s="20" customFormat="1">
      <c r="A8" s="491" t="str">
        <f t="shared" ca="1" si="0"/>
        <v>UFB-1 Tax Impact</v>
      </c>
      <c r="B8" s="491">
        <f>ROW()</f>
        <v>8</v>
      </c>
      <c r="C8" s="491" t="str">
        <f>'Cover Page'!K6</f>
        <v>1026</v>
      </c>
      <c r="D8" s="491">
        <f>'Cover Page'!K4</f>
        <v>2016</v>
      </c>
      <c r="E8" s="491" t="s">
        <v>2031</v>
      </c>
      <c r="F8" s="493" t="s">
        <v>2065</v>
      </c>
      <c r="G8" s="491" t="s">
        <v>2068</v>
      </c>
      <c r="H8" s="505">
        <f>'Cover Page'!M38</f>
        <v>0</v>
      </c>
      <c r="I8" s="491" t="s">
        <v>2068</v>
      </c>
      <c r="J8" s="13"/>
      <c r="K8" s="516" t="s">
        <v>12</v>
      </c>
      <c r="L8" s="530">
        <v>0.06</v>
      </c>
      <c r="M8" s="531">
        <v>295405</v>
      </c>
      <c r="N8" s="23">
        <f>M8/M19</f>
        <v>2.6148523934611739E-2</v>
      </c>
      <c r="O8" s="532">
        <f t="shared" si="1"/>
        <v>240</v>
      </c>
      <c r="P8" s="322"/>
      <c r="Q8" s="25" t="s">
        <v>12</v>
      </c>
      <c r="R8" s="602" t="s">
        <v>10</v>
      </c>
      <c r="S8" s="617">
        <v>303567</v>
      </c>
      <c r="T8" s="326"/>
    </row>
    <row r="9" spans="1:20" s="20" customFormat="1">
      <c r="A9" s="491" t="str">
        <f t="shared" ca="1" si="0"/>
        <v>UFB-1 Tax Impact</v>
      </c>
      <c r="B9" s="491">
        <f>ROW()</f>
        <v>9</v>
      </c>
      <c r="C9" s="491" t="str">
        <f>'Cover Page'!K6</f>
        <v>1026</v>
      </c>
      <c r="D9" s="491">
        <f>'Cover Page'!K4</f>
        <v>2016</v>
      </c>
      <c r="E9" s="491" t="s">
        <v>2031</v>
      </c>
      <c r="F9" s="493" t="s">
        <v>2065</v>
      </c>
      <c r="G9" s="491" t="s">
        <v>2069</v>
      </c>
      <c r="H9" s="505">
        <f>'Cover Page'!M38</f>
        <v>0</v>
      </c>
      <c r="I9" s="491" t="s">
        <v>2069</v>
      </c>
      <c r="J9" s="26"/>
      <c r="K9" s="516" t="s">
        <v>288</v>
      </c>
      <c r="L9" s="530"/>
      <c r="M9" s="531"/>
      <c r="N9" s="23">
        <f>M9/M19</f>
        <v>0</v>
      </c>
      <c r="O9" s="532">
        <f t="shared" si="1"/>
        <v>0</v>
      </c>
      <c r="P9" s="322"/>
      <c r="Q9" s="25" t="s">
        <v>13</v>
      </c>
      <c r="R9" s="602"/>
      <c r="S9" s="617"/>
      <c r="T9" s="325"/>
    </row>
    <row r="10" spans="1:20" s="20" customFormat="1">
      <c r="A10" s="491" t="str">
        <f ca="1">MID(CELL("filename",A10),FIND("]",CELL("filename",A10))+1,256)</f>
        <v>UFB-1 Tax Impact</v>
      </c>
      <c r="B10" s="491">
        <f>ROW()</f>
        <v>10</v>
      </c>
      <c r="C10" s="491" t="str">
        <f>'Cover Page'!K6</f>
        <v>1026</v>
      </c>
      <c r="D10" s="491">
        <f>'Cover Page'!K4</f>
        <v>2016</v>
      </c>
      <c r="E10" s="491" t="s">
        <v>2031</v>
      </c>
      <c r="F10" s="493" t="s">
        <v>2065</v>
      </c>
      <c r="G10" s="491" t="s">
        <v>2070</v>
      </c>
      <c r="H10" s="505">
        <f>'Cover Page'!M38</f>
        <v>0</v>
      </c>
      <c r="I10" s="491" t="s">
        <v>2070</v>
      </c>
      <c r="J10" s="26"/>
      <c r="K10" s="486" t="s">
        <v>15</v>
      </c>
      <c r="L10" s="533"/>
      <c r="M10" s="534"/>
      <c r="N10" s="23">
        <f>M10/M19</f>
        <v>0</v>
      </c>
      <c r="O10" s="532">
        <f t="shared" si="1"/>
        <v>0</v>
      </c>
      <c r="P10" s="322"/>
      <c r="Q10" s="25" t="s">
        <v>15</v>
      </c>
      <c r="R10" s="602"/>
      <c r="S10" s="617"/>
      <c r="T10" s="325"/>
    </row>
    <row r="11" spans="1:20" s="20" customFormat="1">
      <c r="A11" s="491" t="str">
        <f ca="1">MID(CELL("filename",A11),FIND("]",CELL("filename",A11))+1,256)</f>
        <v>UFB-1 Tax Impact</v>
      </c>
      <c r="B11" s="491">
        <f>ROW()</f>
        <v>11</v>
      </c>
      <c r="C11" s="491" t="str">
        <f>'Cover Page'!K6</f>
        <v>1026</v>
      </c>
      <c r="D11" s="491">
        <f>'Cover Page'!K4</f>
        <v>2016</v>
      </c>
      <c r="E11" s="491" t="s">
        <v>2031</v>
      </c>
      <c r="F11" s="493" t="s">
        <v>2065</v>
      </c>
      <c r="G11" s="491" t="s">
        <v>2071</v>
      </c>
      <c r="H11" s="505">
        <f>'Cover Page'!M38</f>
        <v>0</v>
      </c>
      <c r="I11" s="491" t="s">
        <v>2071</v>
      </c>
      <c r="J11" s="26"/>
      <c r="K11" s="486" t="s">
        <v>16</v>
      </c>
      <c r="L11" s="533"/>
      <c r="M11" s="534"/>
      <c r="N11" s="23">
        <f>M11/M19</f>
        <v>0</v>
      </c>
      <c r="O11" s="532">
        <f t="shared" si="1"/>
        <v>0</v>
      </c>
      <c r="P11" s="322"/>
      <c r="Q11" s="25" t="s">
        <v>16</v>
      </c>
      <c r="R11" s="602"/>
      <c r="S11" s="617"/>
      <c r="T11" s="325"/>
    </row>
    <row r="12" spans="1:20" s="20" customFormat="1">
      <c r="A12" s="491" t="str">
        <f ca="1">MID(CELL("filename",A12),FIND("]",CELL("filename",A12))+1,256)</f>
        <v>UFB-1 Tax Impact</v>
      </c>
      <c r="B12" s="491">
        <f>ROW()</f>
        <v>12</v>
      </c>
      <c r="C12" s="491" t="str">
        <f>'Cover Page'!K6</f>
        <v>1026</v>
      </c>
      <c r="D12" s="491">
        <f>'Cover Page'!K4</f>
        <v>2016</v>
      </c>
      <c r="E12" s="491" t="s">
        <v>2031</v>
      </c>
      <c r="F12" s="493" t="s">
        <v>2065</v>
      </c>
      <c r="G12" s="491" t="s">
        <v>2072</v>
      </c>
      <c r="H12" s="505">
        <f>'Cover Page'!M38</f>
        <v>0</v>
      </c>
      <c r="I12" s="491" t="s">
        <v>2072</v>
      </c>
      <c r="J12" s="26"/>
      <c r="K12" s="516" t="s">
        <v>17</v>
      </c>
      <c r="L12" s="530">
        <v>1.59</v>
      </c>
      <c r="M12" s="531">
        <v>7822668</v>
      </c>
      <c r="N12" s="23">
        <f>M12/M19</f>
        <v>0.69244332841529876</v>
      </c>
      <c r="O12" s="532">
        <f t="shared" si="1"/>
        <v>6360</v>
      </c>
      <c r="P12" s="322"/>
      <c r="Q12" s="25" t="s">
        <v>17</v>
      </c>
      <c r="R12" s="602" t="s">
        <v>14</v>
      </c>
      <c r="S12" s="617">
        <v>7979121</v>
      </c>
      <c r="T12" s="325"/>
    </row>
    <row r="13" spans="1:20" s="20" customFormat="1">
      <c r="A13" s="491" t="str">
        <f ca="1">MID(CELL("filename",A13),FIND("]",CELL("filename",A13))+1,256)</f>
        <v>UFB-1 Tax Impact</v>
      </c>
      <c r="B13" s="491">
        <f>ROW()</f>
        <v>13</v>
      </c>
      <c r="C13" s="491" t="str">
        <f>'Cover Page'!K6</f>
        <v>1026</v>
      </c>
      <c r="D13" s="491">
        <f>'Cover Page'!K4</f>
        <v>2016</v>
      </c>
      <c r="E13" s="491" t="s">
        <v>2031</v>
      </c>
      <c r="F13" s="493" t="s">
        <v>2065</v>
      </c>
      <c r="G13" s="491" t="s">
        <v>2073</v>
      </c>
      <c r="H13" s="505">
        <f>'Cover Page'!M38</f>
        <v>0</v>
      </c>
      <c r="I13" s="491" t="s">
        <v>2073</v>
      </c>
      <c r="J13" s="26"/>
      <c r="K13" s="516" t="s">
        <v>18</v>
      </c>
      <c r="L13" s="530">
        <v>0.32200000000000001</v>
      </c>
      <c r="M13" s="531">
        <v>1585864</v>
      </c>
      <c r="N13" s="23">
        <f>M13/M19</f>
        <v>0.14037678022050781</v>
      </c>
      <c r="O13" s="532">
        <f t="shared" si="1"/>
        <v>1288</v>
      </c>
      <c r="P13" s="322"/>
      <c r="Q13" s="25" t="s">
        <v>18</v>
      </c>
      <c r="R13" s="602" t="s">
        <v>14</v>
      </c>
      <c r="S13" s="617">
        <v>1951620</v>
      </c>
    </row>
    <row r="14" spans="1:20" s="20" customFormat="1">
      <c r="A14" s="491" t="str">
        <f t="shared" ca="1" si="0"/>
        <v>UFB-1 Tax Impact</v>
      </c>
      <c r="B14" s="491">
        <f>ROW()</f>
        <v>14</v>
      </c>
      <c r="C14" s="491" t="str">
        <f>'Cover Page'!K6</f>
        <v>1026</v>
      </c>
      <c r="D14" s="491">
        <f>'Cover Page'!K4</f>
        <v>2016</v>
      </c>
      <c r="E14" s="491" t="s">
        <v>2031</v>
      </c>
      <c r="F14" s="493" t="s">
        <v>2065</v>
      </c>
      <c r="G14" s="491" t="s">
        <v>2074</v>
      </c>
      <c r="H14" s="505">
        <f>'Cover Page'!M38</f>
        <v>0</v>
      </c>
      <c r="I14" s="491" t="s">
        <v>2074</v>
      </c>
      <c r="J14" s="26"/>
      <c r="K14" s="516" t="s">
        <v>19</v>
      </c>
      <c r="L14" s="530">
        <v>3.3000000000000002E-2</v>
      </c>
      <c r="M14" s="531">
        <v>158762</v>
      </c>
      <c r="N14" s="23">
        <f>M14/M19</f>
        <v>1.4053221702093157E-2</v>
      </c>
      <c r="O14" s="532">
        <f t="shared" si="1"/>
        <v>132</v>
      </c>
      <c r="P14" s="322"/>
      <c r="Q14" s="25" t="s">
        <v>19</v>
      </c>
      <c r="R14" s="602"/>
      <c r="S14" s="617"/>
    </row>
    <row r="15" spans="1:20" s="20" customFormat="1">
      <c r="A15" s="491" t="str">
        <f t="shared" ca="1" si="0"/>
        <v>UFB-1 Tax Impact</v>
      </c>
      <c r="B15" s="491">
        <f>ROW()</f>
        <v>15</v>
      </c>
      <c r="C15" s="491" t="str">
        <f>'Cover Page'!K6</f>
        <v>1026</v>
      </c>
      <c r="D15" s="491">
        <f>'Cover Page'!K4</f>
        <v>2016</v>
      </c>
      <c r="E15" s="491" t="s">
        <v>2031</v>
      </c>
      <c r="F15" s="493" t="s">
        <v>2065</v>
      </c>
      <c r="G15" s="491" t="s">
        <v>2075</v>
      </c>
      <c r="H15" s="505">
        <f>'Cover Page'!M38</f>
        <v>0</v>
      </c>
      <c r="I15" s="491" t="s">
        <v>2075</v>
      </c>
      <c r="J15" s="26"/>
      <c r="K15" s="516" t="s">
        <v>20</v>
      </c>
      <c r="L15" s="530"/>
      <c r="M15" s="531"/>
      <c r="N15" s="23">
        <f>M15/M19</f>
        <v>0</v>
      </c>
      <c r="O15" s="532">
        <f t="shared" si="1"/>
        <v>0</v>
      </c>
      <c r="P15" s="322"/>
      <c r="Q15" s="25" t="s">
        <v>20</v>
      </c>
      <c r="R15" s="602"/>
      <c r="S15" s="617"/>
    </row>
    <row r="16" spans="1:20" s="20" customFormat="1">
      <c r="A16" s="491" t="str">
        <f t="shared" ca="1" si="0"/>
        <v>UFB-1 Tax Impact</v>
      </c>
      <c r="B16" s="491">
        <f>ROW()</f>
        <v>16</v>
      </c>
      <c r="C16" s="491" t="str">
        <f>'Cover Page'!K6</f>
        <v>1026</v>
      </c>
      <c r="D16" s="491">
        <f>'Cover Page'!K4</f>
        <v>2016</v>
      </c>
      <c r="E16" s="491" t="s">
        <v>2031</v>
      </c>
      <c r="F16" s="493" t="s">
        <v>2065</v>
      </c>
      <c r="G16" s="491" t="s">
        <v>2076</v>
      </c>
      <c r="H16" s="505">
        <f>'Cover Page'!M38</f>
        <v>0</v>
      </c>
      <c r="I16" s="491" t="s">
        <v>2076</v>
      </c>
      <c r="J16" s="13"/>
      <c r="K16" s="516" t="s">
        <v>21</v>
      </c>
      <c r="L16" s="530">
        <v>3.1E-2</v>
      </c>
      <c r="M16" s="531">
        <v>154410</v>
      </c>
      <c r="N16" s="23">
        <f>M16/M19</f>
        <v>1.3667993367557755E-2</v>
      </c>
      <c r="O16" s="532">
        <f t="shared" si="1"/>
        <v>124</v>
      </c>
      <c r="P16" s="322"/>
      <c r="Q16" s="25" t="s">
        <v>21</v>
      </c>
      <c r="R16" s="602"/>
      <c r="S16" s="617"/>
    </row>
    <row r="17" spans="1:23" s="20" customFormat="1">
      <c r="A17" s="491" t="str">
        <f t="shared" ca="1" si="0"/>
        <v>UFB-1 Tax Impact</v>
      </c>
      <c r="B17" s="491">
        <f>ROW()</f>
        <v>17</v>
      </c>
      <c r="C17" s="491" t="str">
        <f>'Cover Page'!K6</f>
        <v>1026</v>
      </c>
      <c r="D17" s="491">
        <f>'Cover Page'!K4</f>
        <v>2016</v>
      </c>
      <c r="E17" s="491" t="s">
        <v>2031</v>
      </c>
      <c r="F17" s="493" t="s">
        <v>2065</v>
      </c>
      <c r="G17" s="491" t="s">
        <v>2077</v>
      </c>
      <c r="H17" s="505">
        <f>'Cover Page'!M38</f>
        <v>0</v>
      </c>
      <c r="I17" s="491" t="s">
        <v>2077</v>
      </c>
      <c r="J17" s="27"/>
      <c r="K17" s="516" t="s">
        <v>22</v>
      </c>
      <c r="L17" s="530"/>
      <c r="M17" s="531"/>
      <c r="N17" s="23">
        <f>M17/M19</f>
        <v>0</v>
      </c>
      <c r="O17" s="532">
        <f t="shared" si="1"/>
        <v>0</v>
      </c>
      <c r="P17" s="322"/>
      <c r="Q17" s="25" t="s">
        <v>22</v>
      </c>
      <c r="R17" s="602"/>
      <c r="S17" s="617"/>
      <c r="T17" s="28"/>
    </row>
    <row r="18" spans="1:23" s="20" customFormat="1">
      <c r="A18" s="491" t="str">
        <f t="shared" ca="1" si="0"/>
        <v>UFB-1 Tax Impact</v>
      </c>
      <c r="B18" s="491">
        <f>ROW()</f>
        <v>18</v>
      </c>
      <c r="C18" s="491" t="str">
        <f>'Cover Page'!K6</f>
        <v>1026</v>
      </c>
      <c r="D18" s="491">
        <f>'Cover Page'!K4</f>
        <v>2016</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1026</v>
      </c>
      <c r="D19" s="491">
        <f>'Cover Page'!K4</f>
        <v>2016</v>
      </c>
      <c r="E19" s="491" t="s">
        <v>2031</v>
      </c>
      <c r="F19" s="493" t="s">
        <v>2065</v>
      </c>
      <c r="G19" s="491" t="s">
        <v>2078</v>
      </c>
      <c r="H19" s="505">
        <f>'Cover Page'!M38</f>
        <v>0</v>
      </c>
      <c r="I19" s="491" t="s">
        <v>2078</v>
      </c>
      <c r="J19" s="27"/>
      <c r="K19" s="29" t="str">
        <f>"Total (Calendar Year "&amp;'Cover Page'!K4-1&amp;" Budget)"</f>
        <v>Total (Calendar Year 2015 Budget)</v>
      </c>
      <c r="L19" s="473">
        <f>SUM(L6:L17)</f>
        <v>2.2960000000000003</v>
      </c>
      <c r="M19" s="251">
        <f>SUM(M6:M17)</f>
        <v>11297196</v>
      </c>
      <c r="N19" s="30">
        <f>SUM(N6:N17)</f>
        <v>0.99999999999999989</v>
      </c>
      <c r="O19" s="332">
        <f>SUM(O6:O17)</f>
        <v>9184</v>
      </c>
      <c r="P19" s="322"/>
      <c r="Q19" s="29" t="s">
        <v>23</v>
      </c>
      <c r="R19" s="29"/>
      <c r="S19" s="332">
        <f>SUM(S6:S17)</f>
        <v>11605430</v>
      </c>
      <c r="T19" s="28"/>
    </row>
    <row r="20" spans="1:23" s="20" customFormat="1" ht="15.75" thickTop="1">
      <c r="A20" s="491" t="str">
        <f t="shared" ca="1" si="0"/>
        <v>UFB-1 Tax Impact</v>
      </c>
      <c r="B20" s="491">
        <f>ROW()</f>
        <v>20</v>
      </c>
      <c r="C20" s="491" t="str">
        <f>'Cover Page'!K6</f>
        <v>1026</v>
      </c>
      <c r="D20" s="491">
        <f>'Cover Page'!K4</f>
        <v>2016</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1026</v>
      </c>
      <c r="D21" s="491">
        <f>'Cover Page'!K4</f>
        <v>2016</v>
      </c>
      <c r="E21" s="491" t="s">
        <v>2031</v>
      </c>
      <c r="F21" s="493" t="s">
        <v>2065</v>
      </c>
      <c r="G21" s="491" t="s">
        <v>2079</v>
      </c>
      <c r="H21" s="505">
        <f>'Cover Page'!M38</f>
        <v>0</v>
      </c>
      <c r="I21" s="549" t="s">
        <v>2225</v>
      </c>
      <c r="J21" s="26"/>
      <c r="K21" s="431" t="s">
        <v>292</v>
      </c>
      <c r="L21" s="563" t="str">
        <f>"October 1, "&amp;'Cover Page'!K4-1&amp;" "</f>
        <v xml:space="preserve">October 1, 2015 </v>
      </c>
      <c r="M21" s="252">
        <v>507823160</v>
      </c>
      <c r="N21" s="11"/>
      <c r="O21" s="519"/>
      <c r="P21" s="322"/>
      <c r="Q21" s="20" t="s">
        <v>24</v>
      </c>
      <c r="S21" s="407">
        <v>2334849</v>
      </c>
    </row>
    <row r="22" spans="1:23" s="20" customFormat="1" ht="13.5" thickTop="1">
      <c r="A22" s="491" t="str">
        <f t="shared" ca="1" si="0"/>
        <v>UFB-1 Tax Impact</v>
      </c>
      <c r="B22" s="491">
        <f>ROW()</f>
        <v>22</v>
      </c>
      <c r="C22" s="491" t="str">
        <f>'Cover Page'!K6</f>
        <v>1026</v>
      </c>
      <c r="D22" s="491">
        <f>'Cover Page'!K4</f>
        <v>2016</v>
      </c>
      <c r="E22" s="491" t="s">
        <v>2031</v>
      </c>
      <c r="F22" s="493" t="s">
        <v>2065</v>
      </c>
      <c r="H22" s="505">
        <f>'Cover Page'!M38</f>
        <v>0</v>
      </c>
      <c r="I22" s="491" t="s">
        <v>2094</v>
      </c>
      <c r="J22" s="26"/>
      <c r="K22" s="613" t="s">
        <v>2281</v>
      </c>
      <c r="N22" s="11"/>
      <c r="O22" s="519"/>
      <c r="P22" s="322"/>
      <c r="Q22" s="20" t="s">
        <v>25</v>
      </c>
      <c r="S22" s="408">
        <v>3485971</v>
      </c>
    </row>
    <row r="23" spans="1:23" s="20" customFormat="1" ht="13.5" thickBot="1">
      <c r="A23" s="491" t="str">
        <f t="shared" ca="1" si="0"/>
        <v>UFB-1 Tax Impact</v>
      </c>
      <c r="B23" s="491">
        <f>ROW()</f>
        <v>23</v>
      </c>
      <c r="C23" s="491" t="str">
        <f>'Cover Page'!K6</f>
        <v>1026</v>
      </c>
      <c r="D23" s="491">
        <f>'Cover Page'!K4</f>
        <v>2016</v>
      </c>
      <c r="E23" s="491" t="s">
        <v>2031</v>
      </c>
      <c r="F23" s="493" t="s">
        <v>2065</v>
      </c>
      <c r="G23" s="491" t="s">
        <v>2080</v>
      </c>
      <c r="H23" s="505">
        <f>'Cover Page'!M38</f>
        <v>0</v>
      </c>
      <c r="I23" s="549" t="s">
        <v>2224</v>
      </c>
      <c r="J23" s="13"/>
      <c r="K23" s="20" t="s">
        <v>2277</v>
      </c>
      <c r="M23" s="252">
        <v>400000</v>
      </c>
      <c r="O23" s="12"/>
      <c r="P23" s="323"/>
      <c r="Q23" s="32" t="s">
        <v>26</v>
      </c>
      <c r="R23" s="32"/>
      <c r="S23" s="333">
        <f>SUM(S8:S17)</f>
        <v>10234308</v>
      </c>
      <c r="T23" s="325"/>
    </row>
    <row r="24" spans="1:23" s="20" customFormat="1" ht="13.5" thickTop="1">
      <c r="A24" s="491" t="str">
        <f t="shared" ca="1" si="0"/>
        <v>UFB-1 Tax Impact</v>
      </c>
      <c r="B24" s="491">
        <f>ROW()</f>
        <v>24</v>
      </c>
      <c r="C24" s="491" t="str">
        <f>'Cover Page'!K6</f>
        <v>1026</v>
      </c>
      <c r="D24" s="491">
        <f>'Cover Page'!K4</f>
        <v>2016</v>
      </c>
      <c r="E24" s="491" t="s">
        <v>2031</v>
      </c>
      <c r="F24" s="493" t="s">
        <v>2065</v>
      </c>
      <c r="G24" s="491"/>
      <c r="H24" s="505">
        <f>'Cover Page'!M38</f>
        <v>0</v>
      </c>
      <c r="I24" s="491" t="s">
        <v>2095</v>
      </c>
      <c r="J24" s="13"/>
      <c r="N24" s="33"/>
      <c r="O24" s="535"/>
      <c r="P24" s="323"/>
      <c r="Q24" s="34" t="s">
        <v>27</v>
      </c>
      <c r="R24" s="34"/>
      <c r="S24" s="334">
        <f>+S23+S22-S21</f>
        <v>11385430</v>
      </c>
    </row>
    <row r="25" spans="1:23" s="20" customFormat="1">
      <c r="A25" s="491" t="str">
        <f t="shared" ca="1" si="0"/>
        <v>UFB-1 Tax Impact</v>
      </c>
      <c r="B25" s="491">
        <f>ROW()</f>
        <v>25</v>
      </c>
      <c r="C25" s="491" t="str">
        <f>'Cover Page'!K6</f>
        <v>1026</v>
      </c>
      <c r="D25" s="491">
        <f>'Cover Page'!K4</f>
        <v>2016</v>
      </c>
      <c r="E25" s="491" t="s">
        <v>2031</v>
      </c>
      <c r="F25" s="493" t="s">
        <v>2065</v>
      </c>
      <c r="G25" s="491"/>
      <c r="H25" s="505">
        <f>'Cover Page'!M38</f>
        <v>0</v>
      </c>
      <c r="I25" s="491" t="s">
        <v>2096</v>
      </c>
      <c r="J25" s="26"/>
      <c r="L25" s="20" t="s">
        <v>265</v>
      </c>
      <c r="O25" s="12"/>
      <c r="P25" s="323"/>
      <c r="Q25" s="32" t="s">
        <v>28</v>
      </c>
      <c r="R25" s="32"/>
      <c r="S25" s="333">
        <f>(+S24/S28)-S24</f>
        <v>220512.91539245658</v>
      </c>
    </row>
    <row r="26" spans="1:23" s="20" customFormat="1" ht="13.5" thickBot="1">
      <c r="A26" s="491" t="str">
        <f t="shared" ca="1" si="0"/>
        <v>UFB-1 Tax Impact</v>
      </c>
      <c r="B26" s="491">
        <f>ROW()</f>
        <v>26</v>
      </c>
      <c r="C26" s="491" t="str">
        <f>'Cover Page'!K6</f>
        <v>1026</v>
      </c>
      <c r="D26" s="491">
        <f>'Cover Page'!K4</f>
        <v>2016</v>
      </c>
      <c r="E26" s="491" t="s">
        <v>2031</v>
      </c>
      <c r="F26" s="493" t="s">
        <v>2065</v>
      </c>
      <c r="G26" s="491"/>
      <c r="H26" s="505">
        <f>'Cover Page'!M38</f>
        <v>0</v>
      </c>
      <c r="I26" s="491" t="s">
        <v>2097</v>
      </c>
      <c r="J26" s="26"/>
      <c r="O26" s="12"/>
      <c r="P26" s="323"/>
      <c r="Q26" s="35" t="s">
        <v>32</v>
      </c>
      <c r="R26" s="35"/>
      <c r="S26" s="335">
        <f>+S25+S24</f>
        <v>11605942.915392457</v>
      </c>
    </row>
    <row r="27" spans="1:23" s="20" customFormat="1" ht="15.75" customHeight="1" thickTop="1">
      <c r="A27" s="491" t="str">
        <f t="shared" ca="1" si="0"/>
        <v>UFB-1 Tax Impact</v>
      </c>
      <c r="B27" s="491">
        <f>ROW()</f>
        <v>27</v>
      </c>
      <c r="C27" s="491" t="str">
        <f>'Cover Page'!K6</f>
        <v>1026</v>
      </c>
      <c r="D27" s="491">
        <f>'Cover Page'!K4</f>
        <v>2016</v>
      </c>
      <c r="E27" s="491" t="s">
        <v>2031</v>
      </c>
      <c r="F27" s="493" t="s">
        <v>2065</v>
      </c>
      <c r="G27" s="491" t="s">
        <v>121</v>
      </c>
      <c r="H27" s="505">
        <f>'Cover Page'!M38</f>
        <v>0</v>
      </c>
      <c r="I27" s="547" t="s">
        <v>274</v>
      </c>
      <c r="J27" s="548"/>
      <c r="K27" s="547"/>
      <c r="L27" s="301"/>
      <c r="M27" s="301" t="s">
        <v>267</v>
      </c>
      <c r="N27" s="301"/>
      <c r="O27" s="302"/>
      <c r="P27" s="323"/>
      <c r="S27" s="116"/>
    </row>
    <row r="28" spans="1:23" s="20" customFormat="1" ht="13.15" customHeight="1" thickBot="1">
      <c r="A28" s="491" t="str">
        <f t="shared" ca="1" si="0"/>
        <v>UFB-1 Tax Impact</v>
      </c>
      <c r="B28" s="491">
        <f>ROW()</f>
        <v>28</v>
      </c>
      <c r="C28" s="491" t="str">
        <f>'Cover Page'!K6</f>
        <v>1026</v>
      </c>
      <c r="D28" s="491">
        <f>'Cover Page'!K4</f>
        <v>2016</v>
      </c>
      <c r="E28" s="491" t="s">
        <v>2031</v>
      </c>
      <c r="F28" s="493" t="s">
        <v>2065</v>
      </c>
      <c r="H28" s="505">
        <f>'Cover Page'!M38</f>
        <v>0</v>
      </c>
      <c r="I28" s="491" t="s">
        <v>2098</v>
      </c>
      <c r="J28" s="26"/>
      <c r="L28" s="536" t="s">
        <v>29</v>
      </c>
      <c r="M28" s="536" t="s">
        <v>30</v>
      </c>
      <c r="N28" s="536" t="s">
        <v>31</v>
      </c>
      <c r="O28" s="302"/>
      <c r="P28" s="323"/>
      <c r="Q28" s="20" t="s">
        <v>33</v>
      </c>
      <c r="S28" s="336">
        <v>0.98099999999999998</v>
      </c>
    </row>
    <row r="29" spans="1:23" s="20" customFormat="1" ht="13.15" customHeight="1" thickTop="1">
      <c r="A29" s="491" t="str">
        <f t="shared" ca="1" si="0"/>
        <v>UFB-1 Tax Impact</v>
      </c>
      <c r="B29" s="491">
        <f>ROW()</f>
        <v>29</v>
      </c>
      <c r="C29" s="491" t="str">
        <f>'Cover Page'!K6</f>
        <v>1026</v>
      </c>
      <c r="D29" s="491">
        <f>'Cover Page'!K4</f>
        <v>2016</v>
      </c>
      <c r="E29" s="491" t="s">
        <v>2031</v>
      </c>
      <c r="F29" s="493" t="s">
        <v>2065</v>
      </c>
      <c r="G29" s="491" t="s">
        <v>2081</v>
      </c>
      <c r="H29" s="505">
        <f>'Cover Page'!M38</f>
        <v>0</v>
      </c>
      <c r="I29" s="444"/>
      <c r="J29" s="26"/>
      <c r="L29" s="537">
        <f>L6</f>
        <v>0.26</v>
      </c>
      <c r="M29" s="538">
        <v>0.27</v>
      </c>
      <c r="N29" s="539">
        <f>(M29-L29)/L29</f>
        <v>3.8461538461538491E-2</v>
      </c>
      <c r="O29" s="12"/>
      <c r="P29" s="323"/>
      <c r="S29" s="12"/>
    </row>
    <row r="30" spans="1:23" s="20" customFormat="1">
      <c r="A30" s="491" t="str">
        <f t="shared" ca="1" si="0"/>
        <v>UFB-1 Tax Impact</v>
      </c>
      <c r="B30" s="491">
        <f>ROW()</f>
        <v>30</v>
      </c>
      <c r="C30" s="491" t="str">
        <f>'Cover Page'!K6</f>
        <v>1026</v>
      </c>
      <c r="D30" s="491">
        <f>'Cover Page'!K4</f>
        <v>2016</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1026</v>
      </c>
      <c r="D31" s="491">
        <f>'Cover Page'!K4</f>
        <v>2016</v>
      </c>
      <c r="E31" s="491" t="s">
        <v>2031</v>
      </c>
      <c r="F31" s="493" t="s">
        <v>2065</v>
      </c>
      <c r="H31" s="505">
        <f>'Cover Page'!M38</f>
        <v>0</v>
      </c>
      <c r="I31" s="491" t="s">
        <v>2088</v>
      </c>
      <c r="J31" s="319" t="s">
        <v>263</v>
      </c>
      <c r="K31" s="301"/>
      <c r="L31" s="301"/>
      <c r="M31" s="301" t="s">
        <v>264</v>
      </c>
      <c r="N31" s="301"/>
      <c r="O31" s="302"/>
      <c r="P31" s="323"/>
      <c r="Q31" s="20" t="s">
        <v>35</v>
      </c>
      <c r="R31" s="683"/>
      <c r="S31" s="684"/>
      <c r="V31" s="218" t="s">
        <v>276</v>
      </c>
      <c r="W31" s="20" t="s">
        <v>10</v>
      </c>
    </row>
    <row r="32" spans="1:23" s="20" customFormat="1" ht="15.75" thickTop="1">
      <c r="A32" s="491" t="str">
        <f t="shared" ca="1" si="0"/>
        <v>UFB-1 Tax Impact</v>
      </c>
      <c r="B32" s="491">
        <f>ROW()</f>
        <v>32</v>
      </c>
      <c r="C32" s="491" t="str">
        <f>'Cover Page'!K6</f>
        <v>1026</v>
      </c>
      <c r="D32" s="491">
        <f>'Cover Page'!K4</f>
        <v>2016</v>
      </c>
      <c r="E32" s="491" t="s">
        <v>2031</v>
      </c>
      <c r="F32" s="493" t="s">
        <v>2065</v>
      </c>
      <c r="G32" s="491" t="s">
        <v>121</v>
      </c>
      <c r="H32" s="505">
        <f>'Cover Page'!M38</f>
        <v>0</v>
      </c>
      <c r="I32" s="444"/>
      <c r="J32" s="26"/>
      <c r="L32" s="540" t="s">
        <v>29</v>
      </c>
      <c r="M32" s="540" t="s">
        <v>30</v>
      </c>
      <c r="N32" s="540" t="s">
        <v>31</v>
      </c>
      <c r="O32" s="540" t="s">
        <v>38</v>
      </c>
      <c r="P32" s="323"/>
      <c r="S32" s="327"/>
      <c r="W32" s="20" t="s">
        <v>14</v>
      </c>
    </row>
    <row r="33" spans="1:20" s="20" customFormat="1">
      <c r="A33" s="504" t="str">
        <f ca="1">MID(CELL("filename",A22),FIND("]",CELL("filename",A22))+1,256)</f>
        <v>UFB-1 Tax Impact</v>
      </c>
      <c r="B33" s="503">
        <f>ROW()</f>
        <v>33</v>
      </c>
      <c r="C33" s="491" t="str">
        <f>'Cover Page'!K6</f>
        <v>1026</v>
      </c>
      <c r="D33" s="491">
        <f>'Cover Page'!K4</f>
        <v>2016</v>
      </c>
      <c r="E33" s="491" t="s">
        <v>2031</v>
      </c>
      <c r="F33" s="493" t="s">
        <v>2065</v>
      </c>
      <c r="G33" s="491" t="s">
        <v>2082</v>
      </c>
      <c r="H33" s="505">
        <f>'Cover Page'!M38</f>
        <v>0</v>
      </c>
      <c r="I33" s="502" t="s">
        <v>121</v>
      </c>
      <c r="J33" s="13"/>
      <c r="L33" s="541">
        <f>M6</f>
        <v>1280087</v>
      </c>
      <c r="M33" s="541">
        <f>S6</f>
        <v>1371122</v>
      </c>
      <c r="N33" s="546">
        <f>(M33-L33)/L33</f>
        <v>7.1116260066698592E-2</v>
      </c>
      <c r="O33" s="542">
        <f>M33-L33</f>
        <v>91035</v>
      </c>
      <c r="P33" s="323"/>
      <c r="Q33" s="16" t="s">
        <v>37</v>
      </c>
      <c r="S33" s="12"/>
    </row>
    <row r="34" spans="1:20" s="20" customFormat="1">
      <c r="A34" s="504" t="str">
        <f t="shared" ref="A34:A39" ca="1" si="2">MID(CELL("filename",A22),FIND("]",CELL("filename",A22))+1,256)</f>
        <v>UFB-1 Tax Impact</v>
      </c>
      <c r="B34" s="503">
        <f>ROW()</f>
        <v>34</v>
      </c>
      <c r="C34" s="491" t="str">
        <f>'Cover Page'!K6</f>
        <v>1026</v>
      </c>
      <c r="D34" s="491">
        <f>'Cover Page'!K4</f>
        <v>2016</v>
      </c>
      <c r="E34" s="491" t="s">
        <v>2031</v>
      </c>
      <c r="F34" s="493" t="s">
        <v>2065</v>
      </c>
      <c r="H34" s="505">
        <f>'Cover Page'!M38</f>
        <v>0</v>
      </c>
      <c r="I34" s="491" t="s">
        <v>2087</v>
      </c>
      <c r="J34" s="13"/>
      <c r="O34" s="543"/>
      <c r="P34" s="323"/>
      <c r="Q34" s="20" t="str">
        <f>"Total Tax Revenue, Collections CY "&amp;'Cover Page'!K4-1</f>
        <v>Total Tax Revenue, Collections CY 2015</v>
      </c>
      <c r="S34" s="328">
        <v>11184201</v>
      </c>
    </row>
    <row r="35" spans="1:20" s="20" customFormat="1">
      <c r="A35" s="504" t="str">
        <f t="shared" ca="1" si="2"/>
        <v>UFB-1 Tax Impact</v>
      </c>
      <c r="B35" s="503">
        <f>ROW()</f>
        <v>35</v>
      </c>
      <c r="C35" s="491" t="str">
        <f>'Cover Page'!K6</f>
        <v>1026</v>
      </c>
      <c r="D35" s="491">
        <f>'Cover Page'!K4</f>
        <v>2016</v>
      </c>
      <c r="E35" s="491" t="s">
        <v>2031</v>
      </c>
      <c r="F35" s="493" t="s">
        <v>2065</v>
      </c>
      <c r="H35" s="505">
        <f>'Cover Page'!M38</f>
        <v>0</v>
      </c>
      <c r="I35" s="491" t="s">
        <v>2086</v>
      </c>
      <c r="J35" s="300" t="s">
        <v>36</v>
      </c>
      <c r="K35" s="301"/>
      <c r="L35" s="301"/>
      <c r="M35" s="301"/>
      <c r="N35" s="301"/>
      <c r="O35" s="302"/>
      <c r="P35" s="323"/>
      <c r="Q35" s="20" t="str">
        <f>"Total Tax Levy, CY "&amp;'Cover Page'!K4-1</f>
        <v>Total Tax Levy, CY 2015</v>
      </c>
      <c r="S35" s="557">
        <v>11379848</v>
      </c>
    </row>
    <row r="36" spans="1:20" s="20" customFormat="1" ht="13.5" thickBot="1">
      <c r="A36" s="504" t="str">
        <f t="shared" ca="1" si="2"/>
        <v>UFB-1 Tax Impact</v>
      </c>
      <c r="B36" s="503">
        <f>ROW()</f>
        <v>36</v>
      </c>
      <c r="C36" s="491" t="str">
        <f>'Cover Page'!K6</f>
        <v>1026</v>
      </c>
      <c r="D36" s="491">
        <f>'Cover Page'!K4</f>
        <v>2016</v>
      </c>
      <c r="E36" s="491" t="s">
        <v>2031</v>
      </c>
      <c r="F36" s="493" t="s">
        <v>2065</v>
      </c>
      <c r="H36" s="505">
        <f>'Cover Page'!M38</f>
        <v>0</v>
      </c>
      <c r="I36" s="20" t="s">
        <v>2085</v>
      </c>
      <c r="J36" s="13"/>
      <c r="L36" s="540" t="s">
        <v>29</v>
      </c>
      <c r="M36" s="540" t="s">
        <v>30</v>
      </c>
      <c r="N36" s="540" t="s">
        <v>31</v>
      </c>
      <c r="O36" s="540" t="s">
        <v>38</v>
      </c>
      <c r="P36" s="323"/>
      <c r="Q36" s="20" t="str">
        <f>"% of Taxes Collected, CY "&amp;'Cover Page'!K4-1</f>
        <v>% of Taxes Collected, CY 2015</v>
      </c>
      <c r="S36" s="329">
        <f>IF(S35&gt;1,+S34/S35,0)</f>
        <v>0.98280759110315008</v>
      </c>
    </row>
    <row r="37" spans="1:20" s="20" customFormat="1" ht="15.75" thickTop="1">
      <c r="A37" s="504" t="str">
        <f t="shared" ca="1" si="2"/>
        <v>UFB-1 Tax Impact</v>
      </c>
      <c r="B37" s="503">
        <f>ROW()</f>
        <v>37</v>
      </c>
      <c r="C37" s="491" t="str">
        <f>'Cover Page'!K6</f>
        <v>1026</v>
      </c>
      <c r="D37" s="491">
        <f>'Cover Page'!K4</f>
        <v>2016</v>
      </c>
      <c r="E37" s="491" t="s">
        <v>2031</v>
      </c>
      <c r="F37" s="493" t="s">
        <v>2065</v>
      </c>
      <c r="G37" s="491" t="s">
        <v>2083</v>
      </c>
      <c r="H37" s="505">
        <f>'Cover Page'!M38</f>
        <v>0</v>
      </c>
      <c r="I37" s="432"/>
      <c r="J37" s="13"/>
      <c r="L37" s="544">
        <f>O6</f>
        <v>1040</v>
      </c>
      <c r="M37" s="545">
        <f>(+M$23/100)*M29</f>
        <v>1080</v>
      </c>
      <c r="N37" s="546">
        <f>(M37-L37)/L37</f>
        <v>3.8461538461538464E-2</v>
      </c>
      <c r="O37" s="542">
        <f>M37-L37</f>
        <v>40</v>
      </c>
      <c r="P37" s="323"/>
      <c r="S37" s="12"/>
    </row>
    <row r="38" spans="1:20" s="20" customFormat="1" ht="13.5" thickBot="1">
      <c r="A38" s="504" t="str">
        <f t="shared" ca="1" si="2"/>
        <v>UFB-1 Tax Impact</v>
      </c>
      <c r="B38" s="503">
        <f>ROW()</f>
        <v>38</v>
      </c>
      <c r="C38" s="491" t="str">
        <f>'Cover Page'!K6</f>
        <v>1026</v>
      </c>
      <c r="D38" s="491">
        <f>'Cover Page'!K4</f>
        <v>2016</v>
      </c>
      <c r="E38" s="491" t="s">
        <v>2031</v>
      </c>
      <c r="F38" s="493" t="s">
        <v>2065</v>
      </c>
      <c r="H38" s="505">
        <f>'Cover Page'!M38</f>
        <v>0</v>
      </c>
      <c r="I38" s="491" t="s">
        <v>2084</v>
      </c>
      <c r="J38" s="26"/>
      <c r="O38" s="12"/>
      <c r="P38" s="323"/>
      <c r="Q38" s="14" t="str">
        <f>"Delinquent Taxes - December 31, "&amp;'Cover Page'!K4-1</f>
        <v>Delinquent Taxes - December 31, 2015</v>
      </c>
      <c r="R38" s="8"/>
      <c r="S38" s="330">
        <v>167876</v>
      </c>
    </row>
    <row r="39" spans="1:20" ht="15.75" thickTop="1">
      <c r="A39" s="504" t="str">
        <f t="shared" ca="1" si="2"/>
        <v>UFB-1 Tax Impact</v>
      </c>
      <c r="B39" s="503">
        <f>ROW()</f>
        <v>39</v>
      </c>
      <c r="C39" s="491" t="str">
        <f>'Cover Page'!K6</f>
        <v>1026</v>
      </c>
      <c r="D39" s="491">
        <f>'Cover Page'!K4</f>
        <v>2016</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password="C7B6"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3" workbookViewId="0">
      <selection activeCell="O20" sqref="O20"/>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1026</v>
      </c>
      <c r="D1" s="491">
        <f>'Cover Page'!K4</f>
        <v>2016</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1026</v>
      </c>
      <c r="D2" s="491">
        <f>'Cover Page'!K4</f>
        <v>2016</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1026</v>
      </c>
      <c r="D3" s="491">
        <f>'Cover Page'!K4</f>
        <v>2016</v>
      </c>
      <c r="E3" s="491" t="s">
        <v>2031</v>
      </c>
      <c r="F3" s="491" t="s">
        <v>2080</v>
      </c>
      <c r="G3" s="491" t="s">
        <v>121</v>
      </c>
      <c r="H3" s="505">
        <f>'Cover Page'!M38</f>
        <v>0</v>
      </c>
      <c r="J3" s="355"/>
      <c r="K3" s="340"/>
      <c r="L3" s="691" t="s">
        <v>39</v>
      </c>
      <c r="M3" s="691" t="s">
        <v>40</v>
      </c>
      <c r="N3" s="44"/>
      <c r="O3" s="691" t="s">
        <v>305</v>
      </c>
      <c r="P3" s="44"/>
      <c r="Q3" s="691" t="s">
        <v>41</v>
      </c>
      <c r="R3" s="45" t="s">
        <v>42</v>
      </c>
      <c r="S3" s="454" t="s">
        <v>300</v>
      </c>
      <c r="T3" s="635"/>
      <c r="U3" s="635"/>
      <c r="V3" s="635"/>
      <c r="W3" s="635"/>
      <c r="X3" s="635"/>
      <c r="Y3" s="635"/>
    </row>
    <row r="4" spans="1:25">
      <c r="A4" s="491" t="str">
        <f t="shared" ca="1" si="0"/>
        <v>UFB-2 Revenue Summary</v>
      </c>
      <c r="B4" s="491">
        <f>ROW()</f>
        <v>4</v>
      </c>
      <c r="C4" s="491" t="str">
        <f>'Cover Page'!K6</f>
        <v>1026</v>
      </c>
      <c r="D4" s="491">
        <f>'Cover Page'!K4</f>
        <v>2016</v>
      </c>
      <c r="E4" s="491" t="s">
        <v>2031</v>
      </c>
      <c r="F4" s="491" t="s">
        <v>2080</v>
      </c>
      <c r="G4" s="491" t="s">
        <v>121</v>
      </c>
      <c r="H4" s="505">
        <f>'Cover Page'!M38</f>
        <v>0</v>
      </c>
      <c r="J4" s="356" t="s">
        <v>43</v>
      </c>
      <c r="K4" s="341"/>
      <c r="L4" s="692"/>
      <c r="M4" s="692"/>
      <c r="N4" s="48"/>
      <c r="O4" s="694"/>
      <c r="P4" s="48"/>
      <c r="Q4" s="696"/>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1026</v>
      </c>
      <c r="D5" s="491">
        <f>'Cover Page'!K4</f>
        <v>2016</v>
      </c>
      <c r="E5" s="491" t="s">
        <v>2031</v>
      </c>
      <c r="F5" s="491" t="s">
        <v>2080</v>
      </c>
      <c r="G5" s="491"/>
      <c r="H5" s="505">
        <f>'Cover Page'!M38</f>
        <v>0</v>
      </c>
      <c r="J5" s="356"/>
      <c r="K5" s="342"/>
      <c r="L5" s="693"/>
      <c r="M5" s="693"/>
      <c r="N5" s="49"/>
      <c r="O5" s="695"/>
      <c r="P5" s="49"/>
      <c r="Q5" s="697"/>
      <c r="R5" s="50"/>
      <c r="S5" s="452"/>
      <c r="T5" s="452"/>
      <c r="U5" s="452"/>
      <c r="V5" s="452"/>
      <c r="W5" s="452"/>
      <c r="X5" s="452"/>
      <c r="Y5" s="452"/>
    </row>
    <row r="6" spans="1:25">
      <c r="A6" s="491" t="str">
        <f t="shared" ca="1" si="0"/>
        <v>UFB-2 Revenue Summary</v>
      </c>
      <c r="B6" s="491">
        <f>ROW()</f>
        <v>6</v>
      </c>
      <c r="C6" s="491">
        <f>'Cover Page'!K5</f>
        <v>295</v>
      </c>
      <c r="D6" s="491">
        <f>'Cover Page'!K4</f>
        <v>2016</v>
      </c>
      <c r="E6" s="491" t="s">
        <v>2031</v>
      </c>
      <c r="F6" s="491" t="s">
        <v>2080</v>
      </c>
      <c r="G6" s="491" t="s">
        <v>2099</v>
      </c>
      <c r="H6" s="505">
        <f>'Cover Page'!M37</f>
        <v>0</v>
      </c>
      <c r="J6" s="357" t="s">
        <v>46</v>
      </c>
      <c r="K6" s="342" t="s">
        <v>2278</v>
      </c>
      <c r="L6" s="256">
        <f>M6/O6</f>
        <v>-9.8560878956168843E-2</v>
      </c>
      <c r="M6" s="257">
        <f>(Q6-O6)</f>
        <v>-27881</v>
      </c>
      <c r="N6" s="51"/>
      <c r="O6" s="260">
        <v>282881</v>
      </c>
      <c r="P6" s="51"/>
      <c r="Q6" s="257">
        <f>SUM(R6:Y6)</f>
        <v>255000</v>
      </c>
      <c r="R6" s="260">
        <v>255000</v>
      </c>
      <c r="S6" s="260"/>
      <c r="T6" s="260"/>
      <c r="U6" s="260"/>
      <c r="V6" s="260"/>
      <c r="W6" s="260"/>
      <c r="X6" s="260"/>
      <c r="Y6" s="260"/>
    </row>
    <row r="7" spans="1:25">
      <c r="A7" s="491" t="str">
        <f t="shared" ca="1" si="0"/>
        <v>UFB-2 Revenue Summary</v>
      </c>
      <c r="B7" s="491">
        <f>ROW()</f>
        <v>7</v>
      </c>
      <c r="C7" s="491" t="str">
        <f>'Cover Page'!K6</f>
        <v>1026</v>
      </c>
      <c r="D7" s="491">
        <f>'Cover Page'!K4</f>
        <v>2016</v>
      </c>
      <c r="E7" s="491" t="s">
        <v>2031</v>
      </c>
      <c r="F7" s="491" t="s">
        <v>2080</v>
      </c>
      <c r="G7" s="491" t="s">
        <v>2100</v>
      </c>
      <c r="H7" s="505">
        <f>'Cover Page'!M38</f>
        <v>0</v>
      </c>
      <c r="J7" s="357" t="s">
        <v>46</v>
      </c>
      <c r="K7" s="342" t="s">
        <v>47</v>
      </c>
      <c r="L7" s="256">
        <f>M7/O7</f>
        <v>-5.8072551767087033E-2</v>
      </c>
      <c r="M7" s="257">
        <f>(Q7-O7)</f>
        <v>-14920</v>
      </c>
      <c r="N7" s="51"/>
      <c r="O7" s="260">
        <v>256920</v>
      </c>
      <c r="P7" s="51"/>
      <c r="Q7" s="257">
        <f>SUM(R7:Y7)</f>
        <v>242000</v>
      </c>
      <c r="R7" s="260">
        <v>242000</v>
      </c>
      <c r="S7" s="260"/>
      <c r="T7" s="260"/>
      <c r="U7" s="260"/>
      <c r="V7" s="260"/>
      <c r="W7" s="260"/>
      <c r="X7" s="260"/>
      <c r="Y7" s="260"/>
    </row>
    <row r="8" spans="1:25">
      <c r="A8" s="491" t="str">
        <f ca="1">MID(CELL("filename",A8),FIND("]",CELL("filename",A8))+1,256)</f>
        <v>UFB-2 Revenue Summary</v>
      </c>
      <c r="B8" s="491">
        <f>ROW()</f>
        <v>8</v>
      </c>
      <c r="C8" s="491" t="str">
        <f>'Cover Page'!K6</f>
        <v>1026</v>
      </c>
      <c r="D8" s="491">
        <f>'Cover Page'!K4</f>
        <v>2016</v>
      </c>
      <c r="E8" s="491" t="s">
        <v>2031</v>
      </c>
      <c r="F8" s="491" t="s">
        <v>2080</v>
      </c>
      <c r="G8" s="491" t="s">
        <v>2101</v>
      </c>
      <c r="H8" s="505">
        <f>'Cover Page'!M38</f>
        <v>0</v>
      </c>
      <c r="J8" s="357" t="s">
        <v>48</v>
      </c>
      <c r="K8" s="342" t="s">
        <v>49</v>
      </c>
      <c r="L8" s="256">
        <f>M8/O8</f>
        <v>0</v>
      </c>
      <c r="M8" s="257">
        <f t="shared" ref="M8:M22" si="1">(Q8-O8)</f>
        <v>0</v>
      </c>
      <c r="N8" s="51"/>
      <c r="O8" s="260">
        <v>965501</v>
      </c>
      <c r="P8" s="51"/>
      <c r="Q8" s="257">
        <f>SUM(R8:Y8)</f>
        <v>965501</v>
      </c>
      <c r="R8" s="260">
        <v>965501</v>
      </c>
      <c r="S8" s="260"/>
      <c r="T8" s="260"/>
      <c r="U8" s="260"/>
      <c r="V8" s="260"/>
      <c r="W8" s="260"/>
      <c r="X8" s="260"/>
      <c r="Y8" s="260"/>
    </row>
    <row r="9" spans="1:25">
      <c r="A9" s="491" t="str">
        <f ca="1">MID(CELL("filename",A9),FIND("]",CELL("filename",A9))+1,256)</f>
        <v>UFB-2 Revenue Summary</v>
      </c>
      <c r="B9" s="491">
        <f>ROW()</f>
        <v>9</v>
      </c>
      <c r="C9" s="491" t="str">
        <f>'Cover Page'!K6</f>
        <v>1026</v>
      </c>
      <c r="D9" s="491">
        <f>'Cover Page'!K4</f>
        <v>2016</v>
      </c>
      <c r="E9" s="491" t="s">
        <v>2031</v>
      </c>
      <c r="F9" s="491" t="s">
        <v>2080</v>
      </c>
      <c r="G9" s="491" t="s">
        <v>2102</v>
      </c>
      <c r="H9" s="505">
        <f>'Cover Page'!M38</f>
        <v>0</v>
      </c>
      <c r="J9" s="357" t="s">
        <v>46</v>
      </c>
      <c r="K9" s="343" t="s">
        <v>50</v>
      </c>
      <c r="L9" s="256">
        <f>M9/O9</f>
        <v>-2.9328156416834224E-2</v>
      </c>
      <c r="M9" s="257">
        <f t="shared" si="1"/>
        <v>-5076</v>
      </c>
      <c r="N9" s="51"/>
      <c r="O9" s="260">
        <v>173076</v>
      </c>
      <c r="P9" s="51"/>
      <c r="Q9" s="257">
        <f>SUM(R9:Y9)</f>
        <v>168000</v>
      </c>
      <c r="R9" s="260">
        <v>168000</v>
      </c>
      <c r="S9" s="260"/>
      <c r="T9" s="260"/>
      <c r="U9" s="260"/>
      <c r="V9" s="260"/>
      <c r="W9" s="260"/>
      <c r="X9" s="260"/>
      <c r="Y9" s="260"/>
    </row>
    <row r="10" spans="1:25">
      <c r="A10" s="491" t="str">
        <f ca="1">MID(CELL("filename",A10),FIND("]",CELL("filename",A10))+1,256)</f>
        <v>UFB-2 Revenue Summary</v>
      </c>
      <c r="B10" s="491">
        <f>ROW()</f>
        <v>10</v>
      </c>
      <c r="C10" s="491" t="str">
        <f>'Cover Page'!K6</f>
        <v>1026</v>
      </c>
      <c r="D10" s="491">
        <f>'Cover Page'!K4</f>
        <v>2016</v>
      </c>
      <c r="E10" s="491" t="s">
        <v>2031</v>
      </c>
      <c r="F10" s="491" t="s">
        <v>2080</v>
      </c>
      <c r="G10" s="491" t="s">
        <v>315</v>
      </c>
      <c r="H10" s="505">
        <f>'Cover Page'!M38</f>
        <v>0</v>
      </c>
      <c r="J10" s="358"/>
      <c r="K10" s="344" t="s">
        <v>252</v>
      </c>
      <c r="L10" s="255"/>
      <c r="M10" s="258"/>
      <c r="N10" s="51"/>
      <c r="O10" s="413"/>
      <c r="P10" s="51"/>
      <c r="Q10" s="258"/>
      <c r="R10" s="414"/>
      <c r="S10" s="414"/>
      <c r="T10" s="414"/>
      <c r="U10" s="414"/>
      <c r="V10" s="638"/>
      <c r="W10" s="638"/>
      <c r="X10" s="638"/>
      <c r="Y10" s="638"/>
    </row>
    <row r="11" spans="1:25">
      <c r="A11" s="491" t="str">
        <f ca="1">MID(CELL("filename",A11),FIND("]",CELL("filename",A11))+1,256)</f>
        <v>UFB-2 Revenue Summary</v>
      </c>
      <c r="B11" s="491">
        <f>ROW()</f>
        <v>11</v>
      </c>
      <c r="C11" s="491" t="str">
        <f>'Cover Page'!K6</f>
        <v>1026</v>
      </c>
      <c r="D11" s="491">
        <f>'Cover Page'!K4</f>
        <v>2016</v>
      </c>
      <c r="E11" s="491" t="s">
        <v>2031</v>
      </c>
      <c r="F11" s="491" t="s">
        <v>2080</v>
      </c>
      <c r="G11" s="491" t="s">
        <v>2103</v>
      </c>
      <c r="H11" s="505">
        <f>'Cover Page'!M38</f>
        <v>0</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1026</v>
      </c>
      <c r="D12" s="491">
        <f>'Cover Page'!K4</f>
        <v>2016</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1026</v>
      </c>
      <c r="D13" s="491">
        <f>'Cover Page'!K4</f>
        <v>2016</v>
      </c>
      <c r="E13" s="491" t="s">
        <v>2031</v>
      </c>
      <c r="F13" s="491" t="s">
        <v>2080</v>
      </c>
      <c r="G13" s="491" t="s">
        <v>2105</v>
      </c>
      <c r="H13" s="505">
        <f>'Cover Page'!M38</f>
        <v>0</v>
      </c>
      <c r="J13" s="357" t="s">
        <v>54</v>
      </c>
      <c r="K13" s="343" t="s">
        <v>2287</v>
      </c>
      <c r="L13" s="256">
        <f>M13/O13</f>
        <v>-1</v>
      </c>
      <c r="M13" s="257">
        <f t="shared" si="1"/>
        <v>-22060</v>
      </c>
      <c r="N13" s="51"/>
      <c r="O13" s="260">
        <v>22060</v>
      </c>
      <c r="P13" s="51"/>
      <c r="Q13" s="257">
        <f>SUM(R13:Y13)</f>
        <v>0</v>
      </c>
      <c r="R13" s="409">
        <v>0</v>
      </c>
      <c r="S13" s="409"/>
      <c r="T13" s="409"/>
      <c r="U13" s="409"/>
      <c r="V13" s="409"/>
      <c r="W13" s="409"/>
      <c r="X13" s="409"/>
      <c r="Y13" s="409"/>
    </row>
    <row r="14" spans="1:25">
      <c r="A14" s="491" t="str">
        <f t="shared" ca="1" si="0"/>
        <v>UFB-2 Revenue Summary</v>
      </c>
      <c r="B14" s="491">
        <f>ROW()</f>
        <v>14</v>
      </c>
      <c r="C14" s="491" t="str">
        <f>'Cover Page'!K6</f>
        <v>1026</v>
      </c>
      <c r="D14" s="491">
        <f>'Cover Page'!K4</f>
        <v>2016</v>
      </c>
      <c r="E14" s="491" t="s">
        <v>2031</v>
      </c>
      <c r="F14" s="491" t="s">
        <v>2080</v>
      </c>
      <c r="G14" s="491" t="s">
        <v>2106</v>
      </c>
      <c r="H14" s="505">
        <f>'Cover Page'!M38</f>
        <v>0</v>
      </c>
      <c r="J14" s="357" t="s">
        <v>46</v>
      </c>
      <c r="K14" s="343" t="s">
        <v>55</v>
      </c>
      <c r="L14" s="256">
        <f>M14/O14</f>
        <v>0.29858881836554951</v>
      </c>
      <c r="M14" s="257">
        <f t="shared" si="1"/>
        <v>134591</v>
      </c>
      <c r="N14" s="51"/>
      <c r="O14" s="260">
        <v>450757</v>
      </c>
      <c r="P14" s="51"/>
      <c r="Q14" s="257">
        <f>SUM(R14:Y14)</f>
        <v>585348</v>
      </c>
      <c r="R14" s="409">
        <v>585348</v>
      </c>
      <c r="S14" s="409"/>
      <c r="T14" s="409"/>
      <c r="U14" s="409"/>
      <c r="V14" s="409"/>
      <c r="W14" s="409"/>
      <c r="X14" s="409"/>
      <c r="Y14" s="409"/>
    </row>
    <row r="15" spans="1:25">
      <c r="A15" s="491" t="str">
        <f t="shared" ca="1" si="0"/>
        <v>UFB-2 Revenue Summary</v>
      </c>
      <c r="B15" s="491">
        <f>ROW()</f>
        <v>15</v>
      </c>
      <c r="C15" s="491" t="str">
        <f>'Cover Page'!K6</f>
        <v>1026</v>
      </c>
      <c r="D15" s="491">
        <f>'Cover Page'!K4</f>
        <v>2016</v>
      </c>
      <c r="E15" s="491" t="s">
        <v>2031</v>
      </c>
      <c r="F15" s="491" t="s">
        <v>2080</v>
      </c>
      <c r="G15" s="491" t="s">
        <v>2107</v>
      </c>
      <c r="H15" s="505">
        <f>'Cover Page'!M38</f>
        <v>0</v>
      </c>
      <c r="J15" s="357" t="s">
        <v>56</v>
      </c>
      <c r="K15" s="343" t="s">
        <v>57</v>
      </c>
      <c r="L15" s="256">
        <f>M15/O15</f>
        <v>0.45590682196339433</v>
      </c>
      <c r="M15" s="257">
        <f t="shared" si="1"/>
        <v>37264</v>
      </c>
      <c r="N15" s="51"/>
      <c r="O15" s="260">
        <v>81736</v>
      </c>
      <c r="P15" s="51"/>
      <c r="Q15" s="257">
        <f>SUM(R15:Y15)</f>
        <v>119000</v>
      </c>
      <c r="R15" s="409">
        <v>119000</v>
      </c>
      <c r="S15" s="409"/>
      <c r="T15" s="409"/>
      <c r="U15" s="409"/>
      <c r="V15" s="409"/>
      <c r="W15" s="409"/>
      <c r="X15" s="409"/>
      <c r="Y15" s="409"/>
    </row>
    <row r="16" spans="1:25">
      <c r="A16" s="491" t="str">
        <f t="shared" ca="1" si="0"/>
        <v>UFB-2 Revenue Summary</v>
      </c>
      <c r="B16" s="491">
        <f>ROW()</f>
        <v>16</v>
      </c>
      <c r="C16" s="491" t="str">
        <f>'Cover Page'!K6</f>
        <v>1026</v>
      </c>
      <c r="D16" s="491">
        <f>'Cover Page'!K4</f>
        <v>2016</v>
      </c>
      <c r="E16" s="491" t="s">
        <v>2031</v>
      </c>
      <c r="F16" s="491" t="s">
        <v>2080</v>
      </c>
      <c r="G16" s="491" t="s">
        <v>121</v>
      </c>
      <c r="H16" s="505">
        <f>'Cover Page'!M38</f>
        <v>0</v>
      </c>
      <c r="J16" s="358"/>
      <c r="K16" s="344" t="s">
        <v>2282</v>
      </c>
      <c r="L16" s="255"/>
      <c r="M16" s="258"/>
      <c r="N16" s="51"/>
      <c r="O16" s="413"/>
      <c r="P16" s="51"/>
      <c r="Q16" s="258"/>
      <c r="R16" s="414"/>
      <c r="S16" s="414"/>
      <c r="T16" s="414"/>
      <c r="U16" s="414"/>
      <c r="V16" s="638"/>
      <c r="W16" s="638"/>
      <c r="X16" s="638"/>
      <c r="Y16" s="638"/>
    </row>
    <row r="17" spans="1:25">
      <c r="A17" s="491" t="str">
        <f t="shared" ca="1" si="0"/>
        <v>UFB-2 Revenue Summary</v>
      </c>
      <c r="B17" s="491">
        <f>ROW()</f>
        <v>17</v>
      </c>
      <c r="C17" s="491" t="str">
        <f>'Cover Page'!K6</f>
        <v>1026</v>
      </c>
      <c r="D17" s="491">
        <f>'Cover Page'!K4</f>
        <v>2016</v>
      </c>
      <c r="E17" s="491" t="s">
        <v>2031</v>
      </c>
      <c r="F17" s="491" t="s">
        <v>2080</v>
      </c>
      <c r="G17" s="491" t="s">
        <v>2108</v>
      </c>
      <c r="H17" s="505">
        <f>'Cover Page'!M38</f>
        <v>0</v>
      </c>
      <c r="J17" s="357" t="s">
        <v>58</v>
      </c>
      <c r="K17" s="343" t="s">
        <v>59</v>
      </c>
      <c r="L17" s="256">
        <f t="shared" ref="L17:L22" si="2">M17/O17</f>
        <v>1.5220285421075312E-2</v>
      </c>
      <c r="M17" s="257">
        <f t="shared" si="1"/>
        <v>20556</v>
      </c>
      <c r="N17" s="51"/>
      <c r="O17" s="260">
        <v>1350566</v>
      </c>
      <c r="P17" s="51"/>
      <c r="Q17" s="257">
        <f>SUM(R17:Y17)</f>
        <v>1371122</v>
      </c>
      <c r="R17" s="409">
        <v>1371122</v>
      </c>
      <c r="S17" s="409"/>
      <c r="T17" s="409"/>
      <c r="U17" s="409"/>
      <c r="V17" s="409"/>
      <c r="W17" s="409"/>
      <c r="X17" s="409"/>
      <c r="Y17" s="409"/>
    </row>
    <row r="18" spans="1:25">
      <c r="A18" s="491" t="str">
        <f t="shared" ca="1" si="0"/>
        <v>UFB-2 Revenue Summary</v>
      </c>
      <c r="B18" s="491">
        <f>ROW()</f>
        <v>18</v>
      </c>
      <c r="C18" s="491" t="str">
        <f>'Cover Page'!K6</f>
        <v>1026</v>
      </c>
      <c r="D18" s="491">
        <f>'Cover Page'!K4</f>
        <v>2016</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1026</v>
      </c>
      <c r="D19" s="491">
        <f>'Cover Page'!K4</f>
        <v>2016</v>
      </c>
      <c r="E19" s="491" t="s">
        <v>2031</v>
      </c>
      <c r="F19" s="491" t="s">
        <v>2080</v>
      </c>
      <c r="G19" s="491" t="s">
        <v>2110</v>
      </c>
      <c r="H19" s="505">
        <f>'Cover Page'!M38</f>
        <v>0</v>
      </c>
      <c r="J19" s="455" t="s">
        <v>2266</v>
      </c>
      <c r="K19" s="456" t="s">
        <v>301</v>
      </c>
      <c r="L19" s="256">
        <f t="shared" si="2"/>
        <v>3.1444965386503272E-2</v>
      </c>
      <c r="M19" s="257">
        <f t="shared" si="1"/>
        <v>9289</v>
      </c>
      <c r="N19" s="51"/>
      <c r="O19" s="260">
        <v>295405</v>
      </c>
      <c r="P19" s="51"/>
      <c r="Q19" s="257">
        <f>SUM(R19:Y19)</f>
        <v>304694</v>
      </c>
      <c r="R19" s="457"/>
      <c r="S19" s="457">
        <v>304694</v>
      </c>
      <c r="T19" s="457"/>
      <c r="U19" s="457"/>
      <c r="V19" s="457"/>
      <c r="W19" s="457"/>
      <c r="X19" s="457"/>
      <c r="Y19" s="457"/>
    </row>
    <row r="20" spans="1:25">
      <c r="A20" s="491" t="str">
        <f t="shared" ca="1" si="0"/>
        <v>UFB-2 Revenue Summary</v>
      </c>
      <c r="B20" s="491">
        <f>ROW()</f>
        <v>20</v>
      </c>
      <c r="C20" s="491" t="str">
        <f>'Cover Page'!K6</f>
        <v>1026</v>
      </c>
      <c r="D20" s="491">
        <f>'Cover Page'!K4</f>
        <v>2016</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1026</v>
      </c>
      <c r="D21" s="491">
        <f>'Cover Page'!K4</f>
        <v>2016</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1026</v>
      </c>
      <c r="D22" s="491">
        <f>'Cover Page'!K4</f>
        <v>2016</v>
      </c>
      <c r="E22" s="491" t="s">
        <v>2031</v>
      </c>
      <c r="F22" s="491" t="s">
        <v>2080</v>
      </c>
      <c r="G22" s="491" t="s">
        <v>2113</v>
      </c>
      <c r="H22" s="505">
        <f>'Cover Page'!M38</f>
        <v>0</v>
      </c>
      <c r="J22" s="360"/>
      <c r="K22" s="347" t="s">
        <v>97</v>
      </c>
      <c r="L22" s="254">
        <f t="shared" si="2"/>
        <v>3.3969149001444224E-2</v>
      </c>
      <c r="M22" s="259">
        <f t="shared" si="1"/>
        <v>131763</v>
      </c>
      <c r="N22" s="52"/>
      <c r="O22" s="259">
        <f>SUM(O6:O21)</f>
        <v>3878902</v>
      </c>
      <c r="P22" s="52"/>
      <c r="Q22" s="259">
        <f t="shared" ref="Q22:Y22" si="3">SUM(Q6:Q21)</f>
        <v>4010665</v>
      </c>
      <c r="R22" s="259">
        <f t="shared" si="3"/>
        <v>3705971</v>
      </c>
      <c r="S22" s="259">
        <f t="shared" si="3"/>
        <v>304694</v>
      </c>
      <c r="T22" s="259">
        <f t="shared" si="3"/>
        <v>0</v>
      </c>
      <c r="U22" s="259">
        <f t="shared" si="3"/>
        <v>0</v>
      </c>
      <c r="V22" s="639">
        <f t="shared" si="3"/>
        <v>0</v>
      </c>
      <c r="W22" s="639">
        <f t="shared" si="3"/>
        <v>0</v>
      </c>
      <c r="X22" s="639">
        <f t="shared" si="3"/>
        <v>0</v>
      </c>
      <c r="Y22" s="639">
        <f t="shared" si="3"/>
        <v>0</v>
      </c>
    </row>
    <row r="23" spans="1:25" ht="16.5" thickTop="1">
      <c r="A23" s="491"/>
      <c r="B23" s="491"/>
      <c r="C23" s="491"/>
      <c r="D23" s="491"/>
      <c r="E23" s="491"/>
      <c r="F23" s="491"/>
      <c r="G23" s="491"/>
      <c r="H23" s="494"/>
      <c r="J23" s="53"/>
      <c r="K23" s="690" t="s">
        <v>2275</v>
      </c>
      <c r="L23" s="690"/>
      <c r="M23" s="690"/>
      <c r="N23" s="690"/>
      <c r="O23" s="690"/>
      <c r="P23" s="690"/>
      <c r="Q23" s="690"/>
      <c r="R23" s="690"/>
      <c r="S23" s="690"/>
      <c r="T23" s="690"/>
      <c r="U23" s="690"/>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password="C7B6" sheet="1" objects="1" scenarios="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J1" zoomScale="75" zoomScaleNormal="75" workbookViewId="0">
      <selection activeCell="P5" sqref="P5"/>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1026</v>
      </c>
      <c r="D1" s="491">
        <f>'Cover Page'!K4</f>
        <v>2016</v>
      </c>
      <c r="E1" s="491" t="s">
        <v>2031</v>
      </c>
      <c r="F1" s="491" t="s">
        <v>2114</v>
      </c>
      <c r="G1" s="491"/>
      <c r="H1" s="505">
        <f>'Cover Page'!M38</f>
        <v>0</v>
      </c>
      <c r="J1" s="699" t="s">
        <v>268</v>
      </c>
      <c r="K1" s="699"/>
      <c r="L1" s="699"/>
      <c r="M1" s="699"/>
      <c r="N1" s="699"/>
      <c r="O1" s="699"/>
      <c r="P1" s="699"/>
      <c r="Q1" s="699"/>
      <c r="R1" s="699"/>
      <c r="S1" s="699"/>
      <c r="T1" s="699"/>
      <c r="U1" s="699"/>
      <c r="V1" s="699"/>
      <c r="W1" s="699"/>
    </row>
    <row r="2" spans="1:27" ht="16.5" thickTop="1">
      <c r="A2" s="491" t="str">
        <f ca="1">MID(CELL("filename",A2),FIND("]",CELL("filename",A2))+1,256)</f>
        <v>UFB-3 Appropriations Summary</v>
      </c>
      <c r="B2" s="491">
        <f>ROW()</f>
        <v>2</v>
      </c>
      <c r="C2" s="491" t="str">
        <f>'Cover Page'!K6</f>
        <v>1026</v>
      </c>
      <c r="D2" s="491">
        <f>'Cover Page'!K4</f>
        <v>2016</v>
      </c>
      <c r="E2" s="491" t="s">
        <v>2031</v>
      </c>
      <c r="F2" s="491" t="s">
        <v>2114</v>
      </c>
      <c r="G2" s="491" t="s">
        <v>121</v>
      </c>
      <c r="H2" s="505">
        <f>'Cover Page'!M38</f>
        <v>0</v>
      </c>
      <c r="J2" s="348"/>
      <c r="K2" s="353"/>
      <c r="L2" s="702" t="s">
        <v>209</v>
      </c>
      <c r="M2" s="703"/>
      <c r="N2" s="691" t="s">
        <v>62</v>
      </c>
      <c r="O2" s="691" t="s">
        <v>63</v>
      </c>
      <c r="P2" s="691" t="s">
        <v>306</v>
      </c>
      <c r="Q2" s="44"/>
      <c r="R2" s="691" t="s">
        <v>64</v>
      </c>
      <c r="S2" s="354" t="s">
        <v>42</v>
      </c>
      <c r="T2" s="354" t="s">
        <v>2269</v>
      </c>
      <c r="U2" s="454" t="s">
        <v>300</v>
      </c>
      <c r="V2" s="635"/>
      <c r="W2" s="635"/>
      <c r="X2" s="635"/>
      <c r="Y2" s="635"/>
      <c r="Z2" s="635"/>
      <c r="AA2" s="635"/>
    </row>
    <row r="3" spans="1:27">
      <c r="A3" s="491" t="str">
        <f t="shared" ref="A3:A28" ca="1" si="0">MID(CELL("filename",A3),FIND("]",CELL("filename",A3))+1,256)</f>
        <v>UFB-3 Appropriations Summary</v>
      </c>
      <c r="B3" s="491">
        <f>ROW()</f>
        <v>3</v>
      </c>
      <c r="C3" s="491" t="str">
        <f>'Cover Page'!K6</f>
        <v>1026</v>
      </c>
      <c r="D3" s="491">
        <f>'Cover Page'!K4</f>
        <v>2016</v>
      </c>
      <c r="E3" s="491" t="s">
        <v>2031</v>
      </c>
      <c r="F3" s="491" t="s">
        <v>2114</v>
      </c>
      <c r="G3" s="491" t="s">
        <v>121</v>
      </c>
      <c r="H3" s="505">
        <f>'Cover Page'!M38</f>
        <v>0</v>
      </c>
      <c r="J3" s="349" t="s">
        <v>43</v>
      </c>
      <c r="K3" s="58"/>
      <c r="L3" s="202" t="s">
        <v>210</v>
      </c>
      <c r="M3" s="203" t="s">
        <v>211</v>
      </c>
      <c r="N3" s="692"/>
      <c r="O3" s="700"/>
      <c r="P3" s="700"/>
      <c r="Q3" s="60"/>
      <c r="R3" s="692"/>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1026</v>
      </c>
      <c r="D4" s="491">
        <f>'Cover Page'!K4</f>
        <v>2016</v>
      </c>
      <c r="E4" s="491" t="s">
        <v>2031</v>
      </c>
      <c r="F4" s="491" t="s">
        <v>2114</v>
      </c>
      <c r="G4" s="491" t="s">
        <v>121</v>
      </c>
      <c r="H4" s="505">
        <f>'Cover Page'!M38</f>
        <v>0</v>
      </c>
      <c r="L4" s="204"/>
      <c r="M4" s="205"/>
      <c r="N4" s="693"/>
      <c r="O4" s="701"/>
      <c r="P4" s="701"/>
      <c r="Q4" s="62"/>
      <c r="R4" s="693"/>
      <c r="S4" s="50"/>
      <c r="T4" s="50"/>
      <c r="U4" s="452"/>
      <c r="V4" s="452"/>
      <c r="W4" s="452"/>
      <c r="X4" s="452"/>
      <c r="Y4" s="452"/>
      <c r="Z4" s="452"/>
      <c r="AA4" s="452"/>
    </row>
    <row r="5" spans="1:27">
      <c r="A5" s="491" t="str">
        <f t="shared" ca="1" si="0"/>
        <v>UFB-3 Appropriations Summary</v>
      </c>
      <c r="B5" s="491">
        <f>ROW()</f>
        <v>5</v>
      </c>
      <c r="C5" s="491" t="str">
        <f>'Cover Page'!K6</f>
        <v>1026</v>
      </c>
      <c r="D5" s="491">
        <f>'Cover Page'!K4</f>
        <v>2016</v>
      </c>
      <c r="E5" s="491" t="s">
        <v>2031</v>
      </c>
      <c r="F5" s="491" t="s">
        <v>2114</v>
      </c>
      <c r="G5" s="491" t="s">
        <v>2136</v>
      </c>
      <c r="H5" s="505">
        <f>'Cover Page'!M38</f>
        <v>0</v>
      </c>
      <c r="J5" s="350">
        <v>20</v>
      </c>
      <c r="K5" s="630" t="s">
        <v>65</v>
      </c>
      <c r="L5" s="245">
        <v>2</v>
      </c>
      <c r="M5" s="246">
        <v>9</v>
      </c>
      <c r="N5" s="261">
        <f t="shared" ref="N5:N28" si="1">O5/P5</f>
        <v>-2.0406780481312538E-2</v>
      </c>
      <c r="O5" s="257">
        <f t="shared" ref="O5:O28" si="2">(R5-P5)</f>
        <v>-8433</v>
      </c>
      <c r="P5" s="260">
        <v>413245</v>
      </c>
      <c r="Q5" s="51"/>
      <c r="R5" s="257">
        <f t="shared" ref="R5:R27" si="3">SUM(S5:AA5)</f>
        <v>404812</v>
      </c>
      <c r="S5" s="260">
        <v>404812</v>
      </c>
      <c r="T5" s="260"/>
      <c r="U5" s="260"/>
      <c r="V5" s="260"/>
      <c r="W5" s="260"/>
      <c r="X5" s="260"/>
      <c r="Y5" s="260"/>
      <c r="Z5" s="260"/>
      <c r="AA5" s="260"/>
    </row>
    <row r="6" spans="1:27">
      <c r="A6" s="491" t="str">
        <f t="shared" ca="1" si="0"/>
        <v>UFB-3 Appropriations Summary</v>
      </c>
      <c r="B6" s="491">
        <f>ROW()</f>
        <v>6</v>
      </c>
      <c r="C6" s="491" t="str">
        <f>'Cover Page'!K6</f>
        <v>1026</v>
      </c>
      <c r="D6" s="491">
        <f>'Cover Page'!K4</f>
        <v>2016</v>
      </c>
      <c r="E6" s="491" t="s">
        <v>2031</v>
      </c>
      <c r="F6" s="491" t="s">
        <v>2114</v>
      </c>
      <c r="G6" s="491" t="s">
        <v>2115</v>
      </c>
      <c r="H6" s="505">
        <f>'Cover Page'!M38</f>
        <v>0</v>
      </c>
      <c r="J6" s="350">
        <v>21</v>
      </c>
      <c r="K6" s="61" t="s">
        <v>66</v>
      </c>
      <c r="L6" s="245"/>
      <c r="M6" s="246">
        <v>2</v>
      </c>
      <c r="N6" s="261">
        <f t="shared" si="1"/>
        <v>-3.0734742620100144E-2</v>
      </c>
      <c r="O6" s="257">
        <f t="shared" si="2"/>
        <v>-1467</v>
      </c>
      <c r="P6" s="260">
        <v>47731</v>
      </c>
      <c r="Q6" s="51"/>
      <c r="R6" s="257">
        <f t="shared" si="3"/>
        <v>46264</v>
      </c>
      <c r="S6" s="260">
        <v>46264</v>
      </c>
      <c r="T6" s="260"/>
      <c r="U6" s="260"/>
      <c r="V6" s="260"/>
      <c r="W6" s="260"/>
      <c r="X6" s="260"/>
      <c r="Y6" s="260"/>
      <c r="Z6" s="260"/>
      <c r="AA6" s="260"/>
    </row>
    <row r="7" spans="1:27">
      <c r="A7" s="491" t="str">
        <f t="shared" ca="1" si="0"/>
        <v>UFB-3 Appropriations Summary</v>
      </c>
      <c r="B7" s="491">
        <f>ROW()</f>
        <v>7</v>
      </c>
      <c r="C7" s="491" t="str">
        <f>'Cover Page'!K6</f>
        <v>1026</v>
      </c>
      <c r="D7" s="491">
        <f>'Cover Page'!K4</f>
        <v>2016</v>
      </c>
      <c r="E7" s="491" t="s">
        <v>2031</v>
      </c>
      <c r="F7" s="491" t="s">
        <v>2114</v>
      </c>
      <c r="G7" s="491" t="s">
        <v>2116</v>
      </c>
      <c r="H7" s="505">
        <f>'Cover Page'!M38</f>
        <v>0</v>
      </c>
      <c r="J7" s="350">
        <v>22</v>
      </c>
      <c r="K7" s="61" t="s">
        <v>67</v>
      </c>
      <c r="L7" s="245"/>
      <c r="M7" s="246">
        <v>7</v>
      </c>
      <c r="N7" s="261">
        <f t="shared" si="1"/>
        <v>8.8707280832095101E-2</v>
      </c>
      <c r="O7" s="257">
        <f t="shared" si="2"/>
        <v>11940</v>
      </c>
      <c r="P7" s="260">
        <v>134600</v>
      </c>
      <c r="Q7" s="51"/>
      <c r="R7" s="257">
        <f t="shared" si="3"/>
        <v>146540</v>
      </c>
      <c r="S7" s="260">
        <v>146540</v>
      </c>
      <c r="T7" s="260"/>
      <c r="U7" s="260"/>
      <c r="V7" s="260"/>
      <c r="W7" s="260"/>
      <c r="X7" s="260"/>
      <c r="Y7" s="260"/>
      <c r="Z7" s="260"/>
      <c r="AA7" s="260"/>
    </row>
    <row r="8" spans="1:27">
      <c r="A8" s="491" t="str">
        <f t="shared" ca="1" si="0"/>
        <v>UFB-3 Appropriations Summary</v>
      </c>
      <c r="B8" s="491">
        <f>ROW()</f>
        <v>8</v>
      </c>
      <c r="C8" s="491" t="str">
        <f>'Cover Page'!K6</f>
        <v>1026</v>
      </c>
      <c r="D8" s="491">
        <f>'Cover Page'!K4</f>
        <v>2016</v>
      </c>
      <c r="E8" s="491" t="s">
        <v>2031</v>
      </c>
      <c r="F8" s="491" t="s">
        <v>2114</v>
      </c>
      <c r="G8" s="491" t="s">
        <v>2117</v>
      </c>
      <c r="H8" s="505">
        <f>'Cover Page'!M38</f>
        <v>0</v>
      </c>
      <c r="J8" s="350">
        <v>23</v>
      </c>
      <c r="K8" s="61" t="s">
        <v>68</v>
      </c>
      <c r="L8" s="245"/>
      <c r="M8" s="246"/>
      <c r="N8" s="261">
        <f t="shared" si="1"/>
        <v>5.9968636911942097E-2</v>
      </c>
      <c r="O8" s="257">
        <f t="shared" si="2"/>
        <v>24857</v>
      </c>
      <c r="P8" s="260">
        <v>414500</v>
      </c>
      <c r="Q8" s="51"/>
      <c r="R8" s="257">
        <f t="shared" si="3"/>
        <v>439357</v>
      </c>
      <c r="S8" s="260">
        <v>439357</v>
      </c>
      <c r="T8" s="260"/>
      <c r="U8" s="260"/>
      <c r="V8" s="260"/>
      <c r="W8" s="260"/>
      <c r="X8" s="260"/>
      <c r="Y8" s="260"/>
      <c r="Z8" s="260"/>
      <c r="AA8" s="260"/>
    </row>
    <row r="9" spans="1:27">
      <c r="A9" s="491" t="str">
        <f t="shared" ca="1" si="0"/>
        <v>UFB-3 Appropriations Summary</v>
      </c>
      <c r="B9" s="491">
        <f>ROW()</f>
        <v>9</v>
      </c>
      <c r="C9" s="491" t="str">
        <f>'Cover Page'!K6</f>
        <v>1026</v>
      </c>
      <c r="D9" s="491">
        <f>'Cover Page'!K4</f>
        <v>2016</v>
      </c>
      <c r="E9" s="491" t="s">
        <v>2031</v>
      </c>
      <c r="F9" s="491" t="s">
        <v>2114</v>
      </c>
      <c r="G9" s="491" t="s">
        <v>2118</v>
      </c>
      <c r="H9" s="505">
        <f>'Cover Page'!M38</f>
        <v>0</v>
      </c>
      <c r="J9" s="350">
        <v>25</v>
      </c>
      <c r="K9" s="63" t="s">
        <v>69</v>
      </c>
      <c r="L9" s="247">
        <v>7</v>
      </c>
      <c r="M9" s="248">
        <v>3</v>
      </c>
      <c r="N9" s="261">
        <f t="shared" si="1"/>
        <v>-1.8697145877378436E-2</v>
      </c>
      <c r="O9" s="257">
        <f t="shared" si="2"/>
        <v>-14150</v>
      </c>
      <c r="P9" s="260">
        <v>756800</v>
      </c>
      <c r="Q9" s="51"/>
      <c r="R9" s="257">
        <f t="shared" si="3"/>
        <v>742650</v>
      </c>
      <c r="S9" s="409">
        <v>742650</v>
      </c>
      <c r="T9" s="409"/>
      <c r="U9" s="409"/>
      <c r="V9" s="409"/>
      <c r="W9" s="409"/>
      <c r="X9" s="409"/>
      <c r="Y9" s="409"/>
      <c r="Z9" s="409"/>
      <c r="AA9" s="409"/>
    </row>
    <row r="10" spans="1:27">
      <c r="A10" s="491" t="str">
        <f ca="1">MID(CELL("filename",A10),FIND("]",CELL("filename",A10))+1,256)</f>
        <v>UFB-3 Appropriations Summary</v>
      </c>
      <c r="B10" s="491">
        <f>ROW()</f>
        <v>10</v>
      </c>
      <c r="C10" s="491" t="str">
        <f>'Cover Page'!K6</f>
        <v>1026</v>
      </c>
      <c r="D10" s="491">
        <f>'Cover Page'!K4</f>
        <v>2016</v>
      </c>
      <c r="E10" s="491" t="s">
        <v>2031</v>
      </c>
      <c r="F10" s="491" t="s">
        <v>2114</v>
      </c>
      <c r="G10" s="491" t="s">
        <v>2119</v>
      </c>
      <c r="H10" s="505">
        <f>'Cover Page'!M38</f>
        <v>0</v>
      </c>
      <c r="J10" s="350">
        <v>26</v>
      </c>
      <c r="K10" s="63" t="s">
        <v>70</v>
      </c>
      <c r="L10" s="247">
        <v>4</v>
      </c>
      <c r="M10" s="248">
        <v>1</v>
      </c>
      <c r="N10" s="261">
        <f t="shared" si="1"/>
        <v>0.1195436507936508</v>
      </c>
      <c r="O10" s="257">
        <f t="shared" si="2"/>
        <v>48200</v>
      </c>
      <c r="P10" s="260">
        <v>403200</v>
      </c>
      <c r="Q10" s="51"/>
      <c r="R10" s="257">
        <f t="shared" si="3"/>
        <v>451400</v>
      </c>
      <c r="S10" s="409">
        <v>451400</v>
      </c>
      <c r="T10" s="409"/>
      <c r="U10" s="409"/>
      <c r="V10" s="409"/>
      <c r="W10" s="409"/>
      <c r="X10" s="409"/>
      <c r="Y10" s="409"/>
      <c r="Z10" s="409"/>
      <c r="AA10" s="409"/>
    </row>
    <row r="11" spans="1:27">
      <c r="A11" s="491" t="str">
        <f ca="1">MID(CELL("filename",A11),FIND("]",CELL("filename",A11))+1,256)</f>
        <v>UFB-3 Appropriations Summary</v>
      </c>
      <c r="B11" s="491">
        <f>ROW()</f>
        <v>11</v>
      </c>
      <c r="C11" s="491" t="str">
        <f>'Cover Page'!K6</f>
        <v>1026</v>
      </c>
      <c r="D11" s="491">
        <f>'Cover Page'!K4</f>
        <v>2016</v>
      </c>
      <c r="E11" s="491" t="s">
        <v>2031</v>
      </c>
      <c r="F11" s="491" t="s">
        <v>2114</v>
      </c>
      <c r="G11" s="491" t="s">
        <v>2120</v>
      </c>
      <c r="H11" s="505">
        <f>'Cover Page'!M38</f>
        <v>0</v>
      </c>
      <c r="J11" s="350">
        <v>27</v>
      </c>
      <c r="K11" s="63" t="s">
        <v>71</v>
      </c>
      <c r="L11" s="247"/>
      <c r="M11" s="248">
        <v>1</v>
      </c>
      <c r="N11" s="261">
        <f t="shared" si="1"/>
        <v>0.39214838514419126</v>
      </c>
      <c r="O11" s="257">
        <f t="shared" si="2"/>
        <v>9070</v>
      </c>
      <c r="P11" s="260">
        <v>23129</v>
      </c>
      <c r="Q11" s="51"/>
      <c r="R11" s="257">
        <f t="shared" si="3"/>
        <v>32199</v>
      </c>
      <c r="S11" s="409">
        <v>32199</v>
      </c>
      <c r="T11" s="409"/>
      <c r="U11" s="409"/>
      <c r="V11" s="409"/>
      <c r="W11" s="409"/>
      <c r="X11" s="409"/>
      <c r="Y11" s="409"/>
      <c r="Z11" s="409"/>
      <c r="AA11" s="409"/>
    </row>
    <row r="12" spans="1:27">
      <c r="A12" s="491" t="str">
        <f ca="1">MID(CELL("filename",A12),FIND("]",CELL("filename",A12))+1,256)</f>
        <v>UFB-3 Appropriations Summary</v>
      </c>
      <c r="B12" s="491">
        <f>ROW()</f>
        <v>12</v>
      </c>
      <c r="C12" s="491" t="str">
        <f>'Cover Page'!K6</f>
        <v>1026</v>
      </c>
      <c r="D12" s="491">
        <f>'Cover Page'!K4</f>
        <v>2016</v>
      </c>
      <c r="E12" s="491" t="s">
        <v>2031</v>
      </c>
      <c r="F12" s="491" t="s">
        <v>2114</v>
      </c>
      <c r="G12" s="491" t="s">
        <v>2121</v>
      </c>
      <c r="H12" s="505">
        <f>'Cover Page'!M38</f>
        <v>0</v>
      </c>
      <c r="J12" s="350">
        <v>28</v>
      </c>
      <c r="K12" s="63" t="s">
        <v>72</v>
      </c>
      <c r="L12" s="247"/>
      <c r="M12" s="248"/>
      <c r="N12" s="261">
        <f t="shared" si="1"/>
        <v>5.128205128205128E-2</v>
      </c>
      <c r="O12" s="257">
        <f t="shared" si="2"/>
        <v>1000</v>
      </c>
      <c r="P12" s="260">
        <v>19500</v>
      </c>
      <c r="Q12" s="51"/>
      <c r="R12" s="257">
        <f t="shared" si="3"/>
        <v>20500</v>
      </c>
      <c r="S12" s="409">
        <v>2500</v>
      </c>
      <c r="T12" s="409"/>
      <c r="U12" s="409">
        <v>18000</v>
      </c>
      <c r="V12" s="409"/>
      <c r="W12" s="409"/>
      <c r="X12" s="409"/>
      <c r="Y12" s="409"/>
      <c r="Z12" s="409"/>
      <c r="AA12" s="409"/>
    </row>
    <row r="13" spans="1:27">
      <c r="A13" s="491" t="str">
        <f ca="1">MID(CELL("filename",A13),FIND("]",CELL("filename",A13))+1,256)</f>
        <v>UFB-3 Appropriations Summary</v>
      </c>
      <c r="B13" s="491">
        <f>ROW()</f>
        <v>13</v>
      </c>
      <c r="C13" s="491" t="str">
        <f>'Cover Page'!K6</f>
        <v>1026</v>
      </c>
      <c r="D13" s="491">
        <f>'Cover Page'!K4</f>
        <v>2016</v>
      </c>
      <c r="E13" s="491" t="s">
        <v>2031</v>
      </c>
      <c r="F13" s="491" t="s">
        <v>2114</v>
      </c>
      <c r="G13" s="491" t="s">
        <v>2122</v>
      </c>
      <c r="H13" s="505">
        <f>'Cover Page'!M38</f>
        <v>0</v>
      </c>
      <c r="J13" s="350">
        <v>29</v>
      </c>
      <c r="K13" s="63" t="s">
        <v>73</v>
      </c>
      <c r="L13" s="247"/>
      <c r="M13" s="248"/>
      <c r="N13" s="261" t="e">
        <f t="shared" si="1"/>
        <v>#DIV/0!</v>
      </c>
      <c r="O13" s="257">
        <f t="shared" si="2"/>
        <v>0</v>
      </c>
      <c r="P13" s="260"/>
      <c r="Q13" s="51"/>
      <c r="R13" s="257">
        <f t="shared" si="3"/>
        <v>0</v>
      </c>
      <c r="S13" s="409"/>
      <c r="T13" s="409"/>
      <c r="U13" s="409"/>
      <c r="V13" s="409"/>
      <c r="W13" s="409"/>
      <c r="X13" s="409"/>
      <c r="Y13" s="409"/>
      <c r="Z13" s="409"/>
      <c r="AA13" s="409"/>
    </row>
    <row r="14" spans="1:27">
      <c r="A14" s="491" t="str">
        <f t="shared" ca="1" si="0"/>
        <v>UFB-3 Appropriations Summary</v>
      </c>
      <c r="B14" s="491">
        <f>ROW()</f>
        <v>14</v>
      </c>
      <c r="C14" s="491" t="str">
        <f>'Cover Page'!K6</f>
        <v>1026</v>
      </c>
      <c r="D14" s="491">
        <f>'Cover Page'!K4</f>
        <v>2016</v>
      </c>
      <c r="E14" s="491" t="s">
        <v>2031</v>
      </c>
      <c r="F14" s="491" t="s">
        <v>2114</v>
      </c>
      <c r="G14" s="491" t="s">
        <v>2123</v>
      </c>
      <c r="H14" s="505">
        <f>'Cover Page'!M38</f>
        <v>0</v>
      </c>
      <c r="J14" s="350">
        <v>30</v>
      </c>
      <c r="K14" s="63" t="s">
        <v>74</v>
      </c>
      <c r="L14" s="247"/>
      <c r="M14" s="248"/>
      <c r="N14" s="261" t="e">
        <f t="shared" si="1"/>
        <v>#DIV/0!</v>
      </c>
      <c r="O14" s="257">
        <f t="shared" si="2"/>
        <v>0</v>
      </c>
      <c r="P14" s="260"/>
      <c r="Q14" s="51"/>
      <c r="R14" s="257">
        <f t="shared" si="3"/>
        <v>0</v>
      </c>
      <c r="S14" s="409"/>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2016</v>
      </c>
      <c r="E15" s="491" t="s">
        <v>2031</v>
      </c>
      <c r="F15" s="491" t="s">
        <v>2114</v>
      </c>
      <c r="G15" s="491" t="s">
        <v>2123</v>
      </c>
      <c r="H15" s="505">
        <f>'Cover Page'!M39</f>
        <v>0</v>
      </c>
      <c r="J15" s="350">
        <v>31</v>
      </c>
      <c r="K15" s="63" t="s">
        <v>75</v>
      </c>
      <c r="L15" s="247"/>
      <c r="M15" s="248"/>
      <c r="N15" s="261">
        <f t="shared" si="1"/>
        <v>-0.12639821029082773</v>
      </c>
      <c r="O15" s="257">
        <f>(R15-P15)</f>
        <v>-11300</v>
      </c>
      <c r="P15" s="260">
        <v>89400</v>
      </c>
      <c r="Q15" s="51"/>
      <c r="R15" s="257">
        <f t="shared" si="3"/>
        <v>78100</v>
      </c>
      <c r="S15" s="409">
        <v>78100</v>
      </c>
      <c r="T15" s="409"/>
      <c r="U15" s="409"/>
      <c r="V15" s="409"/>
      <c r="W15" s="409"/>
      <c r="X15" s="409"/>
      <c r="Y15" s="409"/>
      <c r="Z15" s="409"/>
      <c r="AA15" s="409"/>
    </row>
    <row r="16" spans="1:27">
      <c r="A16" s="491" t="str">
        <f t="shared" ca="1" si="0"/>
        <v>UFB-3 Appropriations Summary</v>
      </c>
      <c r="B16" s="491">
        <f>ROW()</f>
        <v>16</v>
      </c>
      <c r="C16" s="491" t="str">
        <f>'Cover Page'!K6</f>
        <v>1026</v>
      </c>
      <c r="D16" s="491">
        <f>'Cover Page'!K4</f>
        <v>2016</v>
      </c>
      <c r="E16" s="491" t="s">
        <v>2031</v>
      </c>
      <c r="F16" s="491" t="s">
        <v>2114</v>
      </c>
      <c r="G16" s="491" t="s">
        <v>2124</v>
      </c>
      <c r="H16" s="505">
        <f>'Cover Page'!M38</f>
        <v>0</v>
      </c>
      <c r="J16" s="350">
        <v>32</v>
      </c>
      <c r="K16" s="558" t="s">
        <v>2283</v>
      </c>
      <c r="L16" s="247"/>
      <c r="M16" s="248">
        <v>2</v>
      </c>
      <c r="N16" s="261">
        <f t="shared" si="1"/>
        <v>-5.817174515235457E-2</v>
      </c>
      <c r="O16" s="257">
        <f t="shared" si="2"/>
        <v>-2100</v>
      </c>
      <c r="P16" s="260">
        <v>36100</v>
      </c>
      <c r="Q16" s="51"/>
      <c r="R16" s="257">
        <f t="shared" si="3"/>
        <v>34000</v>
      </c>
      <c r="S16" s="409">
        <v>34000</v>
      </c>
      <c r="T16" s="409"/>
      <c r="U16" s="409"/>
      <c r="V16" s="409"/>
      <c r="W16" s="409"/>
      <c r="X16" s="409"/>
      <c r="Y16" s="409"/>
      <c r="Z16" s="409"/>
      <c r="AA16" s="409"/>
    </row>
    <row r="17" spans="1:27">
      <c r="A17" s="491" t="str">
        <f t="shared" ca="1" si="0"/>
        <v>UFB-3 Appropriations Summary</v>
      </c>
      <c r="B17" s="491">
        <f>ROW()</f>
        <v>17</v>
      </c>
      <c r="C17" s="491" t="str">
        <f>'Cover Page'!K6</f>
        <v>1026</v>
      </c>
      <c r="D17" s="491">
        <f>'Cover Page'!K4</f>
        <v>2016</v>
      </c>
      <c r="E17" s="491" t="s">
        <v>2031</v>
      </c>
      <c r="F17" s="491" t="s">
        <v>2114</v>
      </c>
      <c r="G17" s="491" t="s">
        <v>2125</v>
      </c>
      <c r="H17" s="505">
        <f>'Cover Page'!M38</f>
        <v>0</v>
      </c>
      <c r="J17" s="350">
        <v>35</v>
      </c>
      <c r="K17" s="63" t="s">
        <v>76</v>
      </c>
      <c r="L17" s="247"/>
      <c r="M17" s="248"/>
      <c r="N17" s="261" t="e">
        <f t="shared" si="1"/>
        <v>#DIV/0!</v>
      </c>
      <c r="O17" s="257">
        <f t="shared" si="2"/>
        <v>0</v>
      </c>
      <c r="P17" s="260"/>
      <c r="Q17" s="51"/>
      <c r="R17" s="257">
        <f t="shared" si="3"/>
        <v>0</v>
      </c>
      <c r="S17" s="409"/>
      <c r="T17" s="409"/>
      <c r="U17" s="409"/>
      <c r="V17" s="409"/>
      <c r="W17" s="409"/>
      <c r="X17" s="409"/>
      <c r="Y17" s="409"/>
      <c r="Z17" s="409"/>
      <c r="AA17" s="409"/>
    </row>
    <row r="18" spans="1:27">
      <c r="A18" s="491" t="str">
        <f t="shared" ca="1" si="0"/>
        <v>UFB-3 Appropriations Summary</v>
      </c>
      <c r="B18" s="491">
        <f>ROW()</f>
        <v>18</v>
      </c>
      <c r="C18" s="491" t="str">
        <f>'Cover Page'!K6</f>
        <v>1026</v>
      </c>
      <c r="D18" s="491">
        <f>'Cover Page'!K4</f>
        <v>2016</v>
      </c>
      <c r="E18" s="491" t="s">
        <v>2031</v>
      </c>
      <c r="F18" s="491" t="s">
        <v>2114</v>
      </c>
      <c r="G18" s="491" t="s">
        <v>2126</v>
      </c>
      <c r="H18" s="505">
        <f>'Cover Page'!M38</f>
        <v>0</v>
      </c>
      <c r="J18" s="350">
        <v>36</v>
      </c>
      <c r="K18" s="63" t="s">
        <v>77</v>
      </c>
      <c r="L18" s="247"/>
      <c r="M18" s="248"/>
      <c r="N18" s="261">
        <f t="shared" si="1"/>
        <v>7.6301355958964104E-2</v>
      </c>
      <c r="O18" s="257">
        <f t="shared" si="2"/>
        <v>20297</v>
      </c>
      <c r="P18" s="260">
        <v>266011</v>
      </c>
      <c r="Q18" s="51"/>
      <c r="R18" s="257">
        <f t="shared" si="3"/>
        <v>286308</v>
      </c>
      <c r="S18" s="409">
        <v>286308</v>
      </c>
      <c r="T18" s="409"/>
      <c r="U18" s="409"/>
      <c r="V18" s="409"/>
      <c r="W18" s="409"/>
      <c r="X18" s="409"/>
      <c r="Y18" s="409"/>
      <c r="Z18" s="409"/>
      <c r="AA18" s="409"/>
    </row>
    <row r="19" spans="1:27">
      <c r="A19" s="491" t="str">
        <f t="shared" ca="1" si="0"/>
        <v>UFB-3 Appropriations Summary</v>
      </c>
      <c r="B19" s="491">
        <f>ROW()</f>
        <v>19</v>
      </c>
      <c r="C19" s="491" t="str">
        <f>'Cover Page'!K6</f>
        <v>1026</v>
      </c>
      <c r="D19" s="491">
        <f>'Cover Page'!K4</f>
        <v>2016</v>
      </c>
      <c r="E19" s="491" t="s">
        <v>2031</v>
      </c>
      <c r="F19" s="491" t="s">
        <v>2114</v>
      </c>
      <c r="G19" s="491" t="s">
        <v>2127</v>
      </c>
      <c r="H19" s="505">
        <f>'Cover Page'!M38</f>
        <v>0</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1026</v>
      </c>
      <c r="D20" s="491">
        <f>'Cover Page'!K4</f>
        <v>2016</v>
      </c>
      <c r="E20" s="491" t="s">
        <v>2031</v>
      </c>
      <c r="F20" s="491" t="s">
        <v>2114</v>
      </c>
      <c r="G20" s="491" t="s">
        <v>2128</v>
      </c>
      <c r="H20" s="505">
        <f>'Cover Page'!M38</f>
        <v>0</v>
      </c>
      <c r="J20" s="350">
        <v>42</v>
      </c>
      <c r="K20" s="64" t="s">
        <v>79</v>
      </c>
      <c r="L20" s="247"/>
      <c r="M20" s="248"/>
      <c r="N20" s="261" t="e">
        <f t="shared" si="1"/>
        <v>#DIV/0!</v>
      </c>
      <c r="O20" s="257">
        <f t="shared" si="2"/>
        <v>0</v>
      </c>
      <c r="P20" s="260"/>
      <c r="Q20" s="51"/>
      <c r="R20" s="257">
        <f t="shared" si="3"/>
        <v>0</v>
      </c>
      <c r="S20" s="410"/>
      <c r="T20" s="410"/>
      <c r="U20" s="410"/>
      <c r="V20" s="410"/>
      <c r="W20" s="410"/>
      <c r="X20" s="410"/>
      <c r="Y20" s="410"/>
      <c r="Z20" s="410"/>
      <c r="AA20" s="410"/>
    </row>
    <row r="21" spans="1:27">
      <c r="A21" s="491" t="str">
        <f t="shared" ca="1" si="0"/>
        <v>UFB-3 Appropriations Summary</v>
      </c>
      <c r="B21" s="491">
        <f>ROW()</f>
        <v>21</v>
      </c>
      <c r="C21" s="491" t="str">
        <f>'Cover Page'!K6</f>
        <v>1026</v>
      </c>
      <c r="D21" s="491">
        <f>'Cover Page'!K4</f>
        <v>2016</v>
      </c>
      <c r="E21" s="491" t="s">
        <v>2031</v>
      </c>
      <c r="F21" s="491" t="s">
        <v>2114</v>
      </c>
      <c r="G21" s="491" t="s">
        <v>2129</v>
      </c>
      <c r="H21" s="505">
        <f>'Cover Page'!M38</f>
        <v>0</v>
      </c>
      <c r="J21" s="350">
        <v>43</v>
      </c>
      <c r="K21" s="64" t="s">
        <v>80</v>
      </c>
      <c r="L21" s="247">
        <v>1</v>
      </c>
      <c r="M21" s="248">
        <v>2</v>
      </c>
      <c r="N21" s="261">
        <f t="shared" si="1"/>
        <v>5.7675031442774152E-2</v>
      </c>
      <c r="O21" s="257">
        <f t="shared" si="2"/>
        <v>4815</v>
      </c>
      <c r="P21" s="260">
        <v>83485</v>
      </c>
      <c r="Q21" s="51"/>
      <c r="R21" s="257">
        <f t="shared" si="3"/>
        <v>88300</v>
      </c>
      <c r="S21" s="410">
        <v>88300</v>
      </c>
      <c r="T21" s="410"/>
      <c r="U21" s="410"/>
      <c r="V21" s="410"/>
      <c r="W21" s="410"/>
      <c r="X21" s="410"/>
      <c r="Y21" s="410"/>
      <c r="Z21" s="410"/>
      <c r="AA21" s="410"/>
    </row>
    <row r="22" spans="1:27">
      <c r="A22" s="491" t="str">
        <f t="shared" ca="1" si="0"/>
        <v>UFB-3 Appropriations Summary</v>
      </c>
      <c r="B22" s="491">
        <f>ROW()</f>
        <v>22</v>
      </c>
      <c r="C22" s="491" t="str">
        <f>'Cover Page'!K6</f>
        <v>1026</v>
      </c>
      <c r="D22" s="491">
        <f>'Cover Page'!K4</f>
        <v>2016</v>
      </c>
      <c r="E22" s="491" t="s">
        <v>2031</v>
      </c>
      <c r="F22" s="491" t="s">
        <v>2114</v>
      </c>
      <c r="G22" s="491" t="s">
        <v>2130</v>
      </c>
      <c r="H22" s="505">
        <f>'Cover Page'!M38</f>
        <v>0</v>
      </c>
      <c r="J22" s="350">
        <v>44</v>
      </c>
      <c r="K22" s="64" t="s">
        <v>81</v>
      </c>
      <c r="L22" s="247"/>
      <c r="M22" s="248"/>
      <c r="N22" s="261">
        <f t="shared" si="1"/>
        <v>1</v>
      </c>
      <c r="O22" s="257">
        <f t="shared" si="2"/>
        <v>25000</v>
      </c>
      <c r="P22" s="260">
        <v>25000</v>
      </c>
      <c r="Q22" s="51"/>
      <c r="R22" s="257">
        <f t="shared" si="3"/>
        <v>50000</v>
      </c>
      <c r="S22" s="410">
        <v>50000</v>
      </c>
      <c r="T22" s="410"/>
      <c r="U22" s="410"/>
      <c r="V22" s="410"/>
      <c r="W22" s="410"/>
      <c r="X22" s="410"/>
      <c r="Y22" s="410"/>
      <c r="Z22" s="410"/>
      <c r="AA22" s="410"/>
    </row>
    <row r="23" spans="1:27">
      <c r="A23" s="491" t="str">
        <f t="shared" ca="1" si="0"/>
        <v>UFB-3 Appropriations Summary</v>
      </c>
      <c r="B23" s="491">
        <f>ROW()</f>
        <v>23</v>
      </c>
      <c r="C23" s="491" t="str">
        <f>'Cover Page'!K6</f>
        <v>1026</v>
      </c>
      <c r="D23" s="491">
        <f>'Cover Page'!K4</f>
        <v>2016</v>
      </c>
      <c r="E23" s="491" t="s">
        <v>2031</v>
      </c>
      <c r="F23" s="491" t="s">
        <v>2114</v>
      </c>
      <c r="G23" s="491" t="s">
        <v>2131</v>
      </c>
      <c r="H23" s="505">
        <f>'Cover Page'!M38</f>
        <v>0</v>
      </c>
      <c r="J23" s="350">
        <v>45</v>
      </c>
      <c r="K23" s="64" t="s">
        <v>82</v>
      </c>
      <c r="L23" s="247"/>
      <c r="M23" s="248"/>
      <c r="N23" s="261">
        <f t="shared" si="1"/>
        <v>0.14959880491792507</v>
      </c>
      <c r="O23" s="257">
        <f t="shared" si="2"/>
        <v>154821</v>
      </c>
      <c r="P23" s="260">
        <v>1034908</v>
      </c>
      <c r="Q23" s="51"/>
      <c r="R23" s="257">
        <f t="shared" si="3"/>
        <v>1189729</v>
      </c>
      <c r="S23" s="410">
        <v>660749</v>
      </c>
      <c r="T23" s="410"/>
      <c r="U23" s="410">
        <v>528980</v>
      </c>
      <c r="V23" s="410"/>
      <c r="W23" s="410"/>
      <c r="X23" s="410"/>
      <c r="Y23" s="410"/>
      <c r="Z23" s="410"/>
      <c r="AA23" s="410"/>
    </row>
    <row r="24" spans="1:27">
      <c r="A24" s="491" t="str">
        <f t="shared" ca="1" si="0"/>
        <v>UFB-3 Appropriations Summary</v>
      </c>
      <c r="B24" s="491">
        <f>ROW()</f>
        <v>24</v>
      </c>
      <c r="C24" s="491" t="str">
        <f>'Cover Page'!K6</f>
        <v>1026</v>
      </c>
      <c r="D24" s="491">
        <f>'Cover Page'!K4</f>
        <v>2016</v>
      </c>
      <c r="E24" s="491" t="s">
        <v>2031</v>
      </c>
      <c r="F24" s="491" t="s">
        <v>2114</v>
      </c>
      <c r="G24" s="491" t="s">
        <v>2132</v>
      </c>
      <c r="H24" s="505">
        <f>'Cover Page'!M38</f>
        <v>0</v>
      </c>
      <c r="J24" s="350">
        <v>46</v>
      </c>
      <c r="K24" s="64" t="s">
        <v>83</v>
      </c>
      <c r="L24" s="247"/>
      <c r="M24" s="248"/>
      <c r="N24" s="261">
        <f t="shared" si="1"/>
        <v>-3.5087719298245611E-4</v>
      </c>
      <c r="O24" s="257">
        <f t="shared" si="2"/>
        <v>-8</v>
      </c>
      <c r="P24" s="260">
        <v>22800</v>
      </c>
      <c r="Q24" s="51"/>
      <c r="R24" s="257">
        <f t="shared" si="3"/>
        <v>22792</v>
      </c>
      <c r="S24" s="410">
        <v>22792</v>
      </c>
      <c r="T24" s="410"/>
      <c r="U24" s="410"/>
      <c r="V24" s="410"/>
      <c r="W24" s="410"/>
      <c r="X24" s="410"/>
      <c r="Y24" s="410"/>
      <c r="Z24" s="410"/>
      <c r="AA24" s="410"/>
    </row>
    <row r="25" spans="1:27">
      <c r="A25" s="491" t="str">
        <f t="shared" ca="1" si="0"/>
        <v>UFB-3 Appropriations Summary</v>
      </c>
      <c r="B25" s="491">
        <f>ROW()</f>
        <v>25</v>
      </c>
      <c r="C25" s="491" t="str">
        <f>'Cover Page'!K6</f>
        <v>1026</v>
      </c>
      <c r="D25" s="491">
        <f>'Cover Page'!K4</f>
        <v>2016</v>
      </c>
      <c r="E25" s="491" t="s">
        <v>2031</v>
      </c>
      <c r="F25" s="491" t="s">
        <v>2114</v>
      </c>
      <c r="G25" s="491" t="s">
        <v>2133</v>
      </c>
      <c r="H25" s="505">
        <f>'Cover Page'!M38</f>
        <v>0</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1026</v>
      </c>
      <c r="D26" s="491">
        <f>'Cover Page'!K4</f>
        <v>2016</v>
      </c>
      <c r="E26" s="491" t="s">
        <v>2031</v>
      </c>
      <c r="F26" s="491" t="s">
        <v>2114</v>
      </c>
      <c r="G26" s="491" t="s">
        <v>2096</v>
      </c>
      <c r="H26" s="505">
        <f>'Cover Page'!M38</f>
        <v>0</v>
      </c>
      <c r="J26" s="351">
        <v>50</v>
      </c>
      <c r="K26" s="64" t="s">
        <v>85</v>
      </c>
      <c r="L26" s="464"/>
      <c r="M26" s="465"/>
      <c r="N26" s="466">
        <f t="shared" si="1"/>
        <v>0.1</v>
      </c>
      <c r="O26" s="461">
        <f t="shared" si="2"/>
        <v>20000</v>
      </c>
      <c r="P26" s="459">
        <v>200000</v>
      </c>
      <c r="Q26" s="460"/>
      <c r="R26" s="461">
        <f t="shared" si="3"/>
        <v>220000</v>
      </c>
      <c r="S26" s="457">
        <v>220000</v>
      </c>
      <c r="T26" s="457"/>
      <c r="U26" s="457"/>
      <c r="V26" s="457"/>
      <c r="W26" s="457"/>
      <c r="X26" s="457"/>
      <c r="Y26" s="457"/>
      <c r="Z26" s="457"/>
      <c r="AA26" s="457"/>
    </row>
    <row r="27" spans="1:27" ht="16.5" thickBot="1">
      <c r="A27" s="491" t="str">
        <f t="shared" ca="1" si="0"/>
        <v>UFB-3 Appropriations Summary</v>
      </c>
      <c r="B27" s="491">
        <f>ROW()</f>
        <v>27</v>
      </c>
      <c r="C27" s="491" t="str">
        <f>'Cover Page'!K6</f>
        <v>1026</v>
      </c>
      <c r="D27" s="491">
        <f>'Cover Page'!K4</f>
        <v>2016</v>
      </c>
      <c r="E27" s="491" t="s">
        <v>2031</v>
      </c>
      <c r="F27" s="491" t="s">
        <v>2114</v>
      </c>
      <c r="G27" s="491" t="s">
        <v>2134</v>
      </c>
      <c r="H27" s="505">
        <f>'Cover Page'!M38</f>
        <v>0</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7.25" thickTop="1" thickBot="1">
      <c r="A28" s="491" t="str">
        <f t="shared" ca="1" si="0"/>
        <v>UFB-3 Appropriations Summary</v>
      </c>
      <c r="B28" s="491">
        <f>ROW()</f>
        <v>28</v>
      </c>
      <c r="C28" s="491" t="str">
        <f>'Cover Page'!K6</f>
        <v>1026</v>
      </c>
      <c r="D28" s="491">
        <f>'Cover Page'!K4</f>
        <v>2016</v>
      </c>
      <c r="E28" s="491" t="s">
        <v>2031</v>
      </c>
      <c r="F28" s="491" t="s">
        <v>2114</v>
      </c>
      <c r="G28" s="491" t="s">
        <v>2135</v>
      </c>
      <c r="H28" s="505">
        <f>'Cover Page'!M38</f>
        <v>0</v>
      </c>
      <c r="J28" s="352"/>
      <c r="K28" s="65" t="s">
        <v>97</v>
      </c>
      <c r="L28" s="249">
        <f>SUM(L5:L27)</f>
        <v>14</v>
      </c>
      <c r="M28" s="250">
        <f>SUM(M5:M27)</f>
        <v>27</v>
      </c>
      <c r="N28" s="254">
        <f t="shared" si="1"/>
        <v>7.1161938228530106E-2</v>
      </c>
      <c r="O28" s="259">
        <f t="shared" si="2"/>
        <v>282542</v>
      </c>
      <c r="P28" s="259">
        <f>SUM(P5:P27)</f>
        <v>3970409</v>
      </c>
      <c r="Q28" s="52"/>
      <c r="R28" s="259">
        <f>SUM(R5:R27)</f>
        <v>4252951</v>
      </c>
      <c r="S28" s="259">
        <f t="shared" ref="S28:AA28" si="4">SUM(S5:S27)</f>
        <v>3705971</v>
      </c>
      <c r="T28" s="259">
        <f t="shared" si="4"/>
        <v>0</v>
      </c>
      <c r="U28" s="259">
        <f t="shared" si="4"/>
        <v>546980</v>
      </c>
      <c r="V28" s="259">
        <f t="shared" si="4"/>
        <v>0</v>
      </c>
      <c r="W28" s="259">
        <f t="shared" si="4"/>
        <v>0</v>
      </c>
      <c r="X28" s="639">
        <f t="shared" si="4"/>
        <v>0</v>
      </c>
      <c r="Y28" s="639">
        <f t="shared" si="4"/>
        <v>0</v>
      </c>
      <c r="Z28" s="639">
        <f t="shared" si="4"/>
        <v>0</v>
      </c>
      <c r="AA28" s="639">
        <f t="shared" si="4"/>
        <v>0</v>
      </c>
    </row>
    <row r="29" spans="1:27" ht="16.5" thickTop="1">
      <c r="A29" s="491"/>
      <c r="B29" s="491"/>
      <c r="C29" s="491"/>
      <c r="D29" s="491"/>
      <c r="E29" s="491"/>
      <c r="F29" s="491"/>
      <c r="G29" s="491"/>
      <c r="H29" s="494"/>
      <c r="J29" s="66"/>
      <c r="K29" s="698" t="s">
        <v>86</v>
      </c>
      <c r="L29" s="698"/>
      <c r="M29" s="698"/>
      <c r="N29" s="698"/>
      <c r="O29" s="698"/>
      <c r="P29" s="698"/>
      <c r="Q29" s="698"/>
      <c r="R29" s="698"/>
      <c r="S29" s="698"/>
      <c r="T29" s="698"/>
      <c r="U29" s="698"/>
      <c r="V29" s="698"/>
      <c r="W29" s="698"/>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password="C7B6" sheet="1" objects="1" scenarios="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8"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P9" sqref="P9"/>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1026</v>
      </c>
      <c r="D1" s="491">
        <f>'Cover Page'!K4</f>
        <v>2016</v>
      </c>
      <c r="E1" s="491" t="s">
        <v>2031</v>
      </c>
      <c r="F1" s="491" t="s">
        <v>2137</v>
      </c>
      <c r="G1" s="491"/>
      <c r="H1" s="505">
        <f>'Cover Page'!M38</f>
        <v>0</v>
      </c>
      <c r="J1" s="685" t="s">
        <v>0</v>
      </c>
      <c r="K1" s="685"/>
      <c r="L1" s="685"/>
      <c r="M1" s="685"/>
      <c r="N1" s="685"/>
      <c r="O1" s="685"/>
      <c r="P1" s="685"/>
    </row>
    <row r="2" spans="1:16" s="68" customFormat="1" ht="19.5" thickBot="1">
      <c r="A2" s="491" t="str">
        <f ca="1">MID(CELL("filename",A2),FIND("]",CELL("filename",A2))+1,256)</f>
        <v>UFB-4 Structural Imbalances</v>
      </c>
      <c r="B2" s="491">
        <f>ROW()</f>
        <v>2</v>
      </c>
      <c r="C2" s="491" t="str">
        <f>'Cover Page'!K6</f>
        <v>1026</v>
      </c>
      <c r="D2" s="491">
        <f>'Cover Page'!K4</f>
        <v>2016</v>
      </c>
      <c r="E2" s="491" t="s">
        <v>2031</v>
      </c>
      <c r="F2" s="491" t="s">
        <v>2137</v>
      </c>
      <c r="G2" s="491" t="s">
        <v>121</v>
      </c>
      <c r="H2" s="505">
        <f>'Cover Page'!M38</f>
        <v>0</v>
      </c>
      <c r="J2" s="704" t="s">
        <v>87</v>
      </c>
      <c r="K2" s="704"/>
      <c r="L2" s="704"/>
      <c r="M2" s="704"/>
      <c r="N2" s="704"/>
      <c r="O2" s="704"/>
      <c r="P2" s="704"/>
    </row>
    <row r="3" spans="1:16" ht="162" thickTop="1" thickBot="1">
      <c r="A3" s="491" t="str">
        <f t="shared" ref="A3:A25" ca="1" si="0">MID(CELL("filename",A3),FIND("]",CELL("filename",A3))+1,256)</f>
        <v>UFB-4 Structural Imbalances</v>
      </c>
      <c r="B3" s="491">
        <f>ROW()</f>
        <v>3</v>
      </c>
      <c r="C3" s="491" t="str">
        <f>'Cover Page'!K6</f>
        <v>1026</v>
      </c>
      <c r="D3" s="491">
        <f>'Cover Page'!K4</f>
        <v>2016</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1026</v>
      </c>
      <c r="D4" s="491">
        <f>'Cover Page'!K4</f>
        <v>2016</v>
      </c>
      <c r="E4" s="491" t="s">
        <v>2031</v>
      </c>
      <c r="F4" s="491" t="s">
        <v>2137</v>
      </c>
      <c r="G4" s="491" t="s">
        <v>2138</v>
      </c>
      <c r="H4" s="505">
        <f>'Cover Page'!M38</f>
        <v>0</v>
      </c>
      <c r="J4" s="73" t="s">
        <v>2326</v>
      </c>
      <c r="K4" s="74"/>
      <c r="L4" s="74"/>
      <c r="M4" s="74"/>
      <c r="N4" s="75" t="s">
        <v>2325</v>
      </c>
      <c r="O4" s="262">
        <v>907129</v>
      </c>
      <c r="P4" s="653" t="s">
        <v>2332</v>
      </c>
    </row>
    <row r="5" spans="1:16" ht="20.25">
      <c r="A5" s="491" t="str">
        <f t="shared" ca="1" si="0"/>
        <v>UFB-4 Structural Imbalances</v>
      </c>
      <c r="B5" s="491">
        <f>ROW()</f>
        <v>5</v>
      </c>
      <c r="C5" s="491" t="str">
        <f>'Cover Page'!K6</f>
        <v>1026</v>
      </c>
      <c r="D5" s="491">
        <f>'Cover Page'!K4</f>
        <v>2016</v>
      </c>
      <c r="E5" s="491" t="s">
        <v>2031</v>
      </c>
      <c r="F5" s="491" t="s">
        <v>2137</v>
      </c>
      <c r="G5" s="491" t="s">
        <v>2138</v>
      </c>
      <c r="H5" s="505">
        <f>'Cover Page'!M38</f>
        <v>0</v>
      </c>
      <c r="J5" s="76" t="s">
        <v>2326</v>
      </c>
      <c r="K5" s="77"/>
      <c r="L5" s="77"/>
      <c r="M5" s="77"/>
      <c r="N5" s="78" t="s">
        <v>2327</v>
      </c>
      <c r="O5" s="263">
        <v>8000</v>
      </c>
      <c r="P5" s="654" t="s">
        <v>2333</v>
      </c>
    </row>
    <row r="6" spans="1:16" ht="20.25">
      <c r="A6" s="491" t="str">
        <f t="shared" ca="1" si="0"/>
        <v>UFB-4 Structural Imbalances</v>
      </c>
      <c r="B6" s="491">
        <f>ROW()</f>
        <v>6</v>
      </c>
      <c r="C6" s="491" t="str">
        <f>'Cover Page'!K6</f>
        <v>1026</v>
      </c>
      <c r="D6" s="491">
        <f>'Cover Page'!K4</f>
        <v>2016</v>
      </c>
      <c r="E6" s="491" t="s">
        <v>2031</v>
      </c>
      <c r="F6" s="491" t="s">
        <v>2137</v>
      </c>
      <c r="G6" s="491" t="s">
        <v>2138</v>
      </c>
      <c r="H6" s="505">
        <f>'Cover Page'!M28</f>
        <v>0</v>
      </c>
      <c r="J6" s="76" t="s">
        <v>2326</v>
      </c>
      <c r="K6" s="77"/>
      <c r="L6" s="77"/>
      <c r="M6" s="77"/>
      <c r="N6" s="78" t="s">
        <v>2328</v>
      </c>
      <c r="O6" s="263">
        <v>528980</v>
      </c>
      <c r="P6" s="654" t="s">
        <v>2334</v>
      </c>
    </row>
    <row r="7" spans="1:16" ht="20.25">
      <c r="A7" s="491" t="str">
        <f t="shared" ca="1" si="0"/>
        <v>UFB-4 Structural Imbalances</v>
      </c>
      <c r="B7" s="491">
        <f>ROW()</f>
        <v>7</v>
      </c>
      <c r="C7" s="491" t="str">
        <f>'Cover Page'!K6</f>
        <v>1026</v>
      </c>
      <c r="D7" s="491">
        <f>'Cover Page'!K4</f>
        <v>2016</v>
      </c>
      <c r="E7" s="491" t="s">
        <v>2031</v>
      </c>
      <c r="F7" s="491" t="s">
        <v>2137</v>
      </c>
      <c r="G7" s="491" t="s">
        <v>2138</v>
      </c>
      <c r="H7" s="505">
        <f>'Cover Page'!M28</f>
        <v>0</v>
      </c>
      <c r="J7" s="76"/>
      <c r="K7" s="77"/>
      <c r="L7" s="77" t="s">
        <v>2326</v>
      </c>
      <c r="M7" s="77"/>
      <c r="N7" s="78" t="s">
        <v>2329</v>
      </c>
      <c r="O7" s="263">
        <v>178408</v>
      </c>
      <c r="P7" s="654" t="s">
        <v>2335</v>
      </c>
    </row>
    <row r="8" spans="1:16" ht="20.25">
      <c r="A8" s="491" t="str">
        <f t="shared" ca="1" si="0"/>
        <v>UFB-4 Structural Imbalances</v>
      </c>
      <c r="B8" s="491">
        <f>ROW()</f>
        <v>8</v>
      </c>
      <c r="C8" s="491" t="str">
        <f>'Cover Page'!K6</f>
        <v>1026</v>
      </c>
      <c r="D8" s="491">
        <f>'Cover Page'!K4</f>
        <v>2016</v>
      </c>
      <c r="E8" s="491" t="s">
        <v>2031</v>
      </c>
      <c r="F8" s="491" t="s">
        <v>2137</v>
      </c>
      <c r="G8" s="491" t="s">
        <v>2138</v>
      </c>
      <c r="H8" s="505">
        <f>'Cover Page'!M28</f>
        <v>0</v>
      </c>
      <c r="J8" s="76"/>
      <c r="K8" s="77"/>
      <c r="L8" s="77" t="s">
        <v>2326</v>
      </c>
      <c r="M8" s="77" t="s">
        <v>2326</v>
      </c>
      <c r="N8" s="78" t="s">
        <v>2330</v>
      </c>
      <c r="O8" s="263">
        <v>309853</v>
      </c>
      <c r="P8" s="654" t="s">
        <v>2336</v>
      </c>
    </row>
    <row r="9" spans="1:16" ht="20.25">
      <c r="A9" s="491" t="str">
        <f t="shared" ca="1" si="0"/>
        <v>UFB-4 Structural Imbalances</v>
      </c>
      <c r="B9" s="491">
        <f>ROW()</f>
        <v>9</v>
      </c>
      <c r="C9" s="491" t="str">
        <f>'Cover Page'!K6</f>
        <v>1026</v>
      </c>
      <c r="D9" s="491">
        <f>'Cover Page'!K4</f>
        <v>2016</v>
      </c>
      <c r="E9" s="491" t="s">
        <v>2031</v>
      </c>
      <c r="F9" s="491" t="s">
        <v>2137</v>
      </c>
      <c r="G9" s="491" t="s">
        <v>2138</v>
      </c>
      <c r="H9" s="505">
        <f>'Cover Page'!M28</f>
        <v>0</v>
      </c>
      <c r="J9" s="76" t="s">
        <v>2326</v>
      </c>
      <c r="K9" s="77"/>
      <c r="L9" s="77"/>
      <c r="M9" s="77"/>
      <c r="N9" s="78" t="s">
        <v>2331</v>
      </c>
      <c r="O9" s="263">
        <v>39168</v>
      </c>
      <c r="P9" s="654" t="s">
        <v>2337</v>
      </c>
    </row>
    <row r="10" spans="1:16" ht="20.25">
      <c r="A10" s="491" t="str">
        <f ca="1">MID(CELL("filename",A10),FIND("]",CELL("filename",A10))+1,256)</f>
        <v>UFB-4 Structural Imbalances</v>
      </c>
      <c r="B10" s="491">
        <f>ROW()</f>
        <v>10</v>
      </c>
      <c r="C10" s="491" t="str">
        <f>'Cover Page'!K6</f>
        <v>1026</v>
      </c>
      <c r="D10" s="491">
        <f>'Cover Page'!K4</f>
        <v>2016</v>
      </c>
      <c r="E10" s="491" t="s">
        <v>2031</v>
      </c>
      <c r="F10" s="491" t="s">
        <v>2137</v>
      </c>
      <c r="G10" s="491" t="s">
        <v>2138</v>
      </c>
      <c r="H10" s="505">
        <f>'Cover Page'!M28</f>
        <v>0</v>
      </c>
      <c r="J10" s="76"/>
      <c r="K10" s="77"/>
      <c r="L10" s="77"/>
      <c r="M10" s="77"/>
      <c r="N10" s="78"/>
      <c r="O10" s="263"/>
      <c r="P10" s="654"/>
    </row>
    <row r="11" spans="1:16" ht="20.25">
      <c r="A11" s="491" t="str">
        <f ca="1">MID(CELL("filename",A11),FIND("]",CELL("filename",A11))+1,256)</f>
        <v>UFB-4 Structural Imbalances</v>
      </c>
      <c r="B11" s="491">
        <f>ROW()</f>
        <v>11</v>
      </c>
      <c r="C11" s="491" t="str">
        <f>'Cover Page'!K6</f>
        <v>1026</v>
      </c>
      <c r="D11" s="491">
        <f>'Cover Page'!K4</f>
        <v>2016</v>
      </c>
      <c r="E11" s="491" t="s">
        <v>2031</v>
      </c>
      <c r="F11" s="491" t="s">
        <v>2137</v>
      </c>
      <c r="G11" s="491" t="s">
        <v>2138</v>
      </c>
      <c r="H11" s="505">
        <f>'Cover Page'!M28</f>
        <v>0</v>
      </c>
      <c r="J11" s="76"/>
      <c r="K11" s="77"/>
      <c r="L11" s="77"/>
      <c r="M11" s="77"/>
      <c r="N11" s="78"/>
      <c r="O11" s="263"/>
      <c r="P11" s="654"/>
    </row>
    <row r="12" spans="1:16" ht="20.25">
      <c r="A12" s="491" t="str">
        <f ca="1">MID(CELL("filename",A12),FIND("]",CELL("filename",A12))+1,256)</f>
        <v>UFB-4 Structural Imbalances</v>
      </c>
      <c r="B12" s="491">
        <f>ROW()</f>
        <v>12</v>
      </c>
      <c r="C12" s="491" t="str">
        <f>'Cover Page'!K6</f>
        <v>1026</v>
      </c>
      <c r="D12" s="491">
        <f>'Cover Page'!K4</f>
        <v>2016</v>
      </c>
      <c r="E12" s="491" t="s">
        <v>2031</v>
      </c>
      <c r="F12" s="491" t="s">
        <v>2137</v>
      </c>
      <c r="G12" s="491" t="s">
        <v>2138</v>
      </c>
      <c r="H12" s="505">
        <f>'Cover Page'!M28</f>
        <v>0</v>
      </c>
      <c r="J12" s="76"/>
      <c r="K12" s="77"/>
      <c r="L12" s="77"/>
      <c r="M12" s="77"/>
      <c r="N12" s="78"/>
      <c r="O12" s="263"/>
      <c r="P12" s="654"/>
    </row>
    <row r="13" spans="1:16" ht="20.25">
      <c r="A13" s="491" t="str">
        <f ca="1">MID(CELL("filename",A13),FIND("]",CELL("filename",A13))+1,256)</f>
        <v>UFB-4 Structural Imbalances</v>
      </c>
      <c r="B13" s="491">
        <f>ROW()</f>
        <v>13</v>
      </c>
      <c r="C13" s="491" t="str">
        <f>'Cover Page'!K6</f>
        <v>1026</v>
      </c>
      <c r="D13" s="491">
        <f>'Cover Page'!K4</f>
        <v>2016</v>
      </c>
      <c r="E13" s="491" t="s">
        <v>2031</v>
      </c>
      <c r="F13" s="491" t="s">
        <v>2137</v>
      </c>
      <c r="G13" s="491" t="s">
        <v>2138</v>
      </c>
      <c r="H13" s="505">
        <f>'Cover Page'!M28</f>
        <v>0</v>
      </c>
      <c r="J13" s="76"/>
      <c r="K13" s="77"/>
      <c r="L13" s="77"/>
      <c r="M13" s="77"/>
      <c r="N13" s="78"/>
      <c r="O13" s="263"/>
      <c r="P13" s="654"/>
    </row>
    <row r="14" spans="1:16" ht="20.25">
      <c r="A14" s="491" t="str">
        <f t="shared" ca="1" si="0"/>
        <v>UFB-4 Structural Imbalances</v>
      </c>
      <c r="B14" s="491">
        <f>ROW()</f>
        <v>14</v>
      </c>
      <c r="C14" s="491" t="str">
        <f>'Cover Page'!K6</f>
        <v>1026</v>
      </c>
      <c r="D14" s="491">
        <f>'Cover Page'!K4</f>
        <v>2016</v>
      </c>
      <c r="E14" s="491" t="s">
        <v>2031</v>
      </c>
      <c r="F14" s="491" t="s">
        <v>2137</v>
      </c>
      <c r="G14" s="491" t="s">
        <v>2138</v>
      </c>
      <c r="H14" s="505">
        <f>'Cover Page'!M28</f>
        <v>0</v>
      </c>
      <c r="J14" s="76"/>
      <c r="K14" s="77"/>
      <c r="L14" s="77"/>
      <c r="M14" s="77"/>
      <c r="N14" s="78"/>
      <c r="O14" s="263"/>
      <c r="P14" s="654"/>
    </row>
    <row r="15" spans="1:16" ht="20.25">
      <c r="A15" s="491" t="str">
        <f t="shared" ca="1" si="0"/>
        <v>UFB-4 Structural Imbalances</v>
      </c>
      <c r="B15" s="491">
        <f>ROW()</f>
        <v>15</v>
      </c>
      <c r="C15" s="491" t="str">
        <f>'Cover Page'!K6</f>
        <v>1026</v>
      </c>
      <c r="D15" s="491">
        <f>'Cover Page'!K4</f>
        <v>2016</v>
      </c>
      <c r="E15" s="491" t="s">
        <v>2031</v>
      </c>
      <c r="F15" s="491" t="s">
        <v>2137</v>
      </c>
      <c r="G15" s="491" t="s">
        <v>2138</v>
      </c>
      <c r="H15" s="505">
        <f>'Cover Page'!M28</f>
        <v>0</v>
      </c>
      <c r="J15" s="76"/>
      <c r="K15" s="77"/>
      <c r="L15" s="77"/>
      <c r="M15" s="77"/>
      <c r="N15" s="78"/>
      <c r="O15" s="263"/>
      <c r="P15" s="654"/>
    </row>
    <row r="16" spans="1:16" ht="20.25">
      <c r="A16" s="491" t="str">
        <f t="shared" ca="1" si="0"/>
        <v>UFB-4 Structural Imbalances</v>
      </c>
      <c r="B16" s="491">
        <f>ROW()</f>
        <v>16</v>
      </c>
      <c r="C16" s="491" t="str">
        <f>'Cover Page'!K6</f>
        <v>1026</v>
      </c>
      <c r="D16" s="491">
        <f>'Cover Page'!K4</f>
        <v>2016</v>
      </c>
      <c r="E16" s="491" t="s">
        <v>2031</v>
      </c>
      <c r="F16" s="491" t="s">
        <v>2137</v>
      </c>
      <c r="G16" s="491" t="s">
        <v>2138</v>
      </c>
      <c r="H16" s="505">
        <f>'Cover Page'!M38</f>
        <v>0</v>
      </c>
      <c r="J16" s="76"/>
      <c r="K16" s="77"/>
      <c r="L16" s="77"/>
      <c r="M16" s="77"/>
      <c r="N16" s="78"/>
      <c r="O16" s="263"/>
      <c r="P16" s="654"/>
    </row>
    <row r="17" spans="1:16" ht="20.25">
      <c r="A17" s="491" t="str">
        <f t="shared" ca="1" si="0"/>
        <v>UFB-4 Structural Imbalances</v>
      </c>
      <c r="B17" s="491">
        <f>ROW()</f>
        <v>17</v>
      </c>
      <c r="C17" s="491" t="str">
        <f>'Cover Page'!K6</f>
        <v>1026</v>
      </c>
      <c r="D17" s="491">
        <f>'Cover Page'!K4</f>
        <v>2016</v>
      </c>
      <c r="E17" s="491" t="s">
        <v>2031</v>
      </c>
      <c r="F17" s="491" t="s">
        <v>2137</v>
      </c>
      <c r="G17" s="491" t="s">
        <v>2138</v>
      </c>
      <c r="H17" s="505">
        <f>'Cover Page'!M38</f>
        <v>0</v>
      </c>
      <c r="J17" s="76"/>
      <c r="K17" s="77"/>
      <c r="L17" s="77"/>
      <c r="M17" s="77"/>
      <c r="N17" s="78"/>
      <c r="O17" s="263"/>
      <c r="P17" s="654"/>
    </row>
    <row r="18" spans="1:16" ht="20.25">
      <c r="A18" s="491" t="str">
        <f t="shared" ca="1" si="0"/>
        <v>UFB-4 Structural Imbalances</v>
      </c>
      <c r="B18" s="491">
        <f>ROW()</f>
        <v>18</v>
      </c>
      <c r="C18" s="491" t="str">
        <f>'Cover Page'!K6</f>
        <v>1026</v>
      </c>
      <c r="D18" s="491">
        <f>'Cover Page'!K4</f>
        <v>2016</v>
      </c>
      <c r="E18" s="491" t="s">
        <v>2031</v>
      </c>
      <c r="F18" s="491" t="s">
        <v>2137</v>
      </c>
      <c r="G18" s="491" t="s">
        <v>2138</v>
      </c>
      <c r="H18" s="505">
        <f>'Cover Page'!M38</f>
        <v>0</v>
      </c>
      <c r="J18" s="76"/>
      <c r="K18" s="77"/>
      <c r="L18" s="77"/>
      <c r="M18" s="77"/>
      <c r="N18" s="78"/>
      <c r="O18" s="263"/>
      <c r="P18" s="654"/>
    </row>
    <row r="19" spans="1:16" ht="20.25">
      <c r="A19" s="491" t="str">
        <f t="shared" ca="1" si="0"/>
        <v>UFB-4 Structural Imbalances</v>
      </c>
      <c r="B19" s="491">
        <f>ROW()</f>
        <v>19</v>
      </c>
      <c r="C19" s="491" t="str">
        <f>'Cover Page'!K6</f>
        <v>1026</v>
      </c>
      <c r="D19" s="491">
        <f>'Cover Page'!K4</f>
        <v>2016</v>
      </c>
      <c r="E19" s="491" t="s">
        <v>2031</v>
      </c>
      <c r="F19" s="491" t="s">
        <v>2137</v>
      </c>
      <c r="G19" s="491" t="s">
        <v>2138</v>
      </c>
      <c r="H19" s="505">
        <f>'Cover Page'!M38</f>
        <v>0</v>
      </c>
      <c r="J19" s="76"/>
      <c r="K19" s="77"/>
      <c r="L19" s="77"/>
      <c r="M19" s="77"/>
      <c r="N19" s="78"/>
      <c r="O19" s="263"/>
      <c r="P19" s="654"/>
    </row>
    <row r="20" spans="1:16" ht="20.25">
      <c r="A20" s="491" t="str">
        <f ca="1">MID(CELL("filename",A20),FIND("]",CELL("filename",A20))+1,256)</f>
        <v>UFB-4 Structural Imbalances</v>
      </c>
      <c r="B20" s="491">
        <f>ROW()</f>
        <v>20</v>
      </c>
      <c r="C20" s="491" t="str">
        <f>'Cover Page'!K6</f>
        <v>1026</v>
      </c>
      <c r="D20" s="491">
        <f>'Cover Page'!K4</f>
        <v>2016</v>
      </c>
      <c r="E20" s="491" t="s">
        <v>2031</v>
      </c>
      <c r="F20" s="491" t="s">
        <v>2137</v>
      </c>
      <c r="G20" s="491" t="s">
        <v>2138</v>
      </c>
      <c r="H20" s="505">
        <f>'Cover Page'!M38</f>
        <v>0</v>
      </c>
      <c r="J20" s="76"/>
      <c r="K20" s="77"/>
      <c r="L20" s="77"/>
      <c r="M20" s="77"/>
      <c r="N20" s="78"/>
      <c r="O20" s="263"/>
      <c r="P20" s="654"/>
    </row>
    <row r="21" spans="1:16" ht="20.25">
      <c r="A21" s="491" t="str">
        <f ca="1">MID(CELL("filename",A21),FIND("]",CELL("filename",A21))+1,256)</f>
        <v>UFB-4 Structural Imbalances</v>
      </c>
      <c r="B21" s="491">
        <f>ROW()</f>
        <v>21</v>
      </c>
      <c r="C21" s="491" t="str">
        <f>'Cover Page'!K6</f>
        <v>1026</v>
      </c>
      <c r="D21" s="491">
        <f>'Cover Page'!K4</f>
        <v>2016</v>
      </c>
      <c r="E21" s="491" t="s">
        <v>2031</v>
      </c>
      <c r="F21" s="491" t="s">
        <v>2137</v>
      </c>
      <c r="G21" s="491" t="s">
        <v>2138</v>
      </c>
      <c r="H21" s="505">
        <f>'Cover Page'!M38</f>
        <v>0</v>
      </c>
      <c r="J21" s="76"/>
      <c r="K21" s="77"/>
      <c r="L21" s="77"/>
      <c r="M21" s="77"/>
      <c r="N21" s="78"/>
      <c r="O21" s="263"/>
      <c r="P21" s="654"/>
    </row>
    <row r="22" spans="1:16" ht="20.25">
      <c r="A22" s="491" t="str">
        <f ca="1">MID(CELL("filename",A22),FIND("]",CELL("filename",A22))+1,256)</f>
        <v>UFB-4 Structural Imbalances</v>
      </c>
      <c r="B22" s="491">
        <f>ROW()</f>
        <v>22</v>
      </c>
      <c r="C22" s="491" t="str">
        <f>'Cover Page'!K6</f>
        <v>1026</v>
      </c>
      <c r="D22" s="491">
        <f>'Cover Page'!K4</f>
        <v>2016</v>
      </c>
      <c r="E22" s="491" t="s">
        <v>2031</v>
      </c>
      <c r="F22" s="491" t="s">
        <v>2137</v>
      </c>
      <c r="G22" s="491" t="s">
        <v>2138</v>
      </c>
      <c r="H22" s="505">
        <f>'Cover Page'!M38</f>
        <v>0</v>
      </c>
      <c r="J22" s="76"/>
      <c r="K22" s="77"/>
      <c r="L22" s="77"/>
      <c r="M22" s="77"/>
      <c r="N22" s="78"/>
      <c r="O22" s="263"/>
      <c r="P22" s="654"/>
    </row>
    <row r="23" spans="1:16" ht="20.25">
      <c r="A23" s="491" t="str">
        <f ca="1">MID(CELL("filename",A23),FIND("]",CELL("filename",A23))+1,256)</f>
        <v>UFB-4 Structural Imbalances</v>
      </c>
      <c r="B23" s="491">
        <f>ROW()</f>
        <v>23</v>
      </c>
      <c r="C23" s="491" t="str">
        <f>'Cover Page'!K6</f>
        <v>1026</v>
      </c>
      <c r="D23" s="491">
        <f>'Cover Page'!K4</f>
        <v>2016</v>
      </c>
      <c r="E23" s="491" t="s">
        <v>2031</v>
      </c>
      <c r="F23" s="491" t="s">
        <v>2137</v>
      </c>
      <c r="G23" s="491" t="s">
        <v>2138</v>
      </c>
      <c r="H23" s="505">
        <f>'Cover Page'!M38</f>
        <v>0</v>
      </c>
      <c r="J23" s="76"/>
      <c r="K23" s="77"/>
      <c r="L23" s="77"/>
      <c r="M23" s="77"/>
      <c r="N23" s="78"/>
      <c r="O23" s="263"/>
      <c r="P23" s="654"/>
    </row>
    <row r="24" spans="1:16" ht="20.25">
      <c r="A24" s="491" t="str">
        <f t="shared" ca="1" si="0"/>
        <v>UFB-4 Structural Imbalances</v>
      </c>
      <c r="B24" s="491">
        <f>ROW()</f>
        <v>24</v>
      </c>
      <c r="C24" s="491" t="str">
        <f>'Cover Page'!K6</f>
        <v>1026</v>
      </c>
      <c r="D24" s="491">
        <f>'Cover Page'!K4</f>
        <v>2016</v>
      </c>
      <c r="E24" s="491" t="s">
        <v>2031</v>
      </c>
      <c r="F24" s="491" t="s">
        <v>2137</v>
      </c>
      <c r="G24" s="491" t="s">
        <v>2138</v>
      </c>
      <c r="H24" s="505">
        <f>'Cover Page'!M38</f>
        <v>0</v>
      </c>
      <c r="J24" s="76"/>
      <c r="K24" s="77"/>
      <c r="L24" s="77"/>
      <c r="M24" s="77"/>
      <c r="N24" s="78"/>
      <c r="O24" s="263"/>
      <c r="P24" s="654"/>
    </row>
    <row r="25" spans="1:16" ht="20.25">
      <c r="A25" s="491" t="str">
        <f t="shared" ca="1" si="0"/>
        <v>UFB-4 Structural Imbalances</v>
      </c>
      <c r="B25" s="491">
        <f>ROW()</f>
        <v>25</v>
      </c>
      <c r="C25" s="491" t="str">
        <f>'Cover Page'!K6</f>
        <v>1026</v>
      </c>
      <c r="D25" s="491">
        <f>'Cover Page'!K4</f>
        <v>2016</v>
      </c>
      <c r="E25" s="491" t="s">
        <v>2031</v>
      </c>
      <c r="F25" s="491" t="s">
        <v>2137</v>
      </c>
      <c r="G25" s="491" t="s">
        <v>2138</v>
      </c>
      <c r="H25" s="505">
        <f>'Cover Page'!M38</f>
        <v>0</v>
      </c>
      <c r="J25" s="76"/>
      <c r="K25" s="77"/>
      <c r="L25" s="77"/>
      <c r="M25" s="77"/>
      <c r="N25" s="78"/>
      <c r="O25" s="263"/>
      <c r="P25" s="654"/>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5" t="s">
        <v>94</v>
      </c>
      <c r="K27" s="705"/>
      <c r="L27" s="705"/>
      <c r="M27" s="705"/>
      <c r="N27" s="705"/>
      <c r="O27" s="705"/>
      <c r="P27" s="705"/>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3">
    <mergeCell ref="J1:P1"/>
    <mergeCell ref="J2:P2"/>
    <mergeCell ref="J27:P27"/>
  </mergeCells>
  <printOptions horizontalCentered="1" verticalCentered="1"/>
  <pageMargins left="0.2" right="0.2" top="0.25" bottom="0.25" header="0.3" footer="0.3"/>
  <pageSetup paperSize="5"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5" workbookViewId="0">
      <selection activeCell="L4" sqref="L4"/>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1026</v>
      </c>
      <c r="D1" s="491">
        <f>'Cover Page'!K4</f>
        <v>2016</v>
      </c>
      <c r="E1" s="491" t="s">
        <v>2031</v>
      </c>
      <c r="F1" s="491" t="s">
        <v>2139</v>
      </c>
      <c r="G1" s="491" t="s">
        <v>121</v>
      </c>
      <c r="H1" s="505">
        <f ca="1">TODAY()</f>
        <v>44273</v>
      </c>
      <c r="J1" s="706" t="s">
        <v>2284</v>
      </c>
      <c r="K1" s="706"/>
      <c r="L1" s="706"/>
      <c r="M1" s="706"/>
      <c r="N1" s="706"/>
      <c r="O1" s="706"/>
      <c r="P1" s="706"/>
      <c r="Q1" s="706"/>
      <c r="R1" s="706"/>
      <c r="S1" s="706"/>
      <c r="T1" s="706"/>
      <c r="U1" s="706"/>
    </row>
    <row r="2" spans="1:21" ht="12.75" customHeight="1">
      <c r="A2" s="491" t="str">
        <f t="shared" ref="A2:A35" ca="1" si="0">MID(CELL("filename",A2),FIND("]",CELL("filename",A2))+1,256)</f>
        <v>UFB-5 Tax Assessments</v>
      </c>
      <c r="B2" s="491">
        <f>ROW()</f>
        <v>2</v>
      </c>
      <c r="C2" s="491" t="str">
        <f>'Cover Page'!K6</f>
        <v>1026</v>
      </c>
      <c r="D2" s="491">
        <f>'Cover Page'!K4</f>
        <v>2016</v>
      </c>
      <c r="E2" s="491" t="s">
        <v>2031</v>
      </c>
      <c r="F2" s="491" t="s">
        <v>2139</v>
      </c>
      <c r="G2" s="491" t="s">
        <v>121</v>
      </c>
      <c r="H2" s="505">
        <f ca="1">TODAY()</f>
        <v>44273</v>
      </c>
      <c r="J2" s="707" t="str">
        <f>"Property Tax Assessments - Taxable Properties (October 1, "&amp;'Cover Page'!K4-1&amp;" Value)"</f>
        <v>Property Tax Assessments - Taxable Properties (October 1, 2015 Value)</v>
      </c>
      <c r="K2" s="708"/>
      <c r="L2" s="708"/>
      <c r="M2" s="708"/>
      <c r="N2" s="708"/>
      <c r="O2" s="709"/>
      <c r="P2" s="6"/>
      <c r="Q2" s="710" t="str">
        <f>"Property Tax Assessments - Exempt Properties (October 1, "&amp;'Cover Page'!K4-1&amp;" Value)"</f>
        <v>Property Tax Assessments - Exempt Properties (October 1, 2015 Value)</v>
      </c>
      <c r="R2" s="711"/>
      <c r="S2" s="711"/>
      <c r="T2" s="711"/>
      <c r="U2" s="712"/>
    </row>
    <row r="3" spans="1:21" s="20" customFormat="1">
      <c r="A3" s="491" t="str">
        <f t="shared" ca="1" si="0"/>
        <v>UFB-5 Tax Assessments</v>
      </c>
      <c r="B3" s="491">
        <f>ROW()</f>
        <v>3</v>
      </c>
      <c r="C3" s="491" t="str">
        <f>'Cover Page'!K6</f>
        <v>1026</v>
      </c>
      <c r="D3" s="491">
        <f>'Cover Page'!K4</f>
        <v>2016</v>
      </c>
      <c r="E3" s="491" t="s">
        <v>2031</v>
      </c>
      <c r="F3" s="491" t="s">
        <v>2139</v>
      </c>
      <c r="G3" s="491" t="s">
        <v>121</v>
      </c>
      <c r="H3" s="505">
        <f t="shared" ref="H3:H15" ca="1" si="1">TODAY()</f>
        <v>44273</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1026</v>
      </c>
      <c r="D4" s="491">
        <f>'Cover Page'!K4</f>
        <v>2016</v>
      </c>
      <c r="E4" s="491" t="s">
        <v>2031</v>
      </c>
      <c r="F4" s="491" t="s">
        <v>2139</v>
      </c>
      <c r="G4" s="491" t="s">
        <v>2140</v>
      </c>
      <c r="H4" s="505">
        <f t="shared" ca="1" si="1"/>
        <v>44273</v>
      </c>
      <c r="J4" s="94">
        <v>1</v>
      </c>
      <c r="K4" s="21" t="s">
        <v>98</v>
      </c>
      <c r="L4" s="514"/>
      <c r="M4" s="515"/>
      <c r="N4" s="520">
        <f t="shared" ref="N4:N11" si="2">IF(M4&gt;0,M4/M$12,0)</f>
        <v>0</v>
      </c>
      <c r="O4" s="519"/>
      <c r="P4" s="18"/>
      <c r="Q4" s="91" t="s">
        <v>99</v>
      </c>
      <c r="R4" s="21" t="s">
        <v>100</v>
      </c>
      <c r="S4" s="95"/>
      <c r="T4" s="264"/>
      <c r="U4" s="310">
        <f t="shared" ref="U4:U9" si="3">IF(T4&gt;0,T4/T$12,0)</f>
        <v>0</v>
      </c>
    </row>
    <row r="5" spans="1:21" s="20" customFormat="1">
      <c r="A5" s="491" t="str">
        <f t="shared" ca="1" si="0"/>
        <v>UFB-5 Tax Assessments</v>
      </c>
      <c r="B5" s="491">
        <f>ROW()</f>
        <v>5</v>
      </c>
      <c r="C5" s="491" t="str">
        <f>'Cover Page'!K6</f>
        <v>1026</v>
      </c>
      <c r="D5" s="491">
        <f>'Cover Page'!K4</f>
        <v>2016</v>
      </c>
      <c r="E5" s="491" t="s">
        <v>2031</v>
      </c>
      <c r="F5" s="491" t="s">
        <v>2139</v>
      </c>
      <c r="G5" s="491" t="s">
        <v>2141</v>
      </c>
      <c r="H5" s="505">
        <f t="shared" ca="1" si="1"/>
        <v>44273</v>
      </c>
      <c r="J5" s="94">
        <v>2</v>
      </c>
      <c r="K5" s="14" t="s">
        <v>101</v>
      </c>
      <c r="L5" s="514"/>
      <c r="M5" s="515"/>
      <c r="N5" s="520">
        <f t="shared" si="2"/>
        <v>0</v>
      </c>
      <c r="O5" s="519"/>
      <c r="P5" s="18"/>
      <c r="Q5" s="94" t="s">
        <v>102</v>
      </c>
      <c r="R5" s="14" t="s">
        <v>103</v>
      </c>
      <c r="S5" s="95"/>
      <c r="T5" s="264"/>
      <c r="U5" s="310">
        <f t="shared" si="3"/>
        <v>0</v>
      </c>
    </row>
    <row r="6" spans="1:21" s="20" customFormat="1">
      <c r="A6" s="491" t="str">
        <f t="shared" ca="1" si="0"/>
        <v>UFB-5 Tax Assessments</v>
      </c>
      <c r="B6" s="491">
        <f>ROW()</f>
        <v>6</v>
      </c>
      <c r="C6" s="491" t="str">
        <f>'Cover Page'!K6</f>
        <v>1026</v>
      </c>
      <c r="D6" s="491">
        <f>'Cover Page'!K4</f>
        <v>2016</v>
      </c>
      <c r="E6" s="491" t="s">
        <v>2031</v>
      </c>
      <c r="F6" s="491" t="s">
        <v>2139</v>
      </c>
      <c r="G6" s="491" t="s">
        <v>2142</v>
      </c>
      <c r="H6" s="505">
        <f t="shared" ca="1" si="1"/>
        <v>44273</v>
      </c>
      <c r="J6" s="94" t="s">
        <v>312</v>
      </c>
      <c r="K6" s="20" t="s">
        <v>104</v>
      </c>
      <c r="L6" s="512"/>
      <c r="M6" s="513"/>
      <c r="N6" s="520">
        <f t="shared" si="2"/>
        <v>0</v>
      </c>
      <c r="O6" s="519"/>
      <c r="P6" s="18"/>
      <c r="Q6" s="94" t="s">
        <v>105</v>
      </c>
      <c r="R6" s="20" t="s">
        <v>106</v>
      </c>
      <c r="S6" s="96"/>
      <c r="T6" s="264"/>
      <c r="U6" s="310">
        <f t="shared" si="3"/>
        <v>0</v>
      </c>
    </row>
    <row r="7" spans="1:21" s="20" customFormat="1">
      <c r="A7" s="491" t="str">
        <f t="shared" ca="1" si="0"/>
        <v>UFB-5 Tax Assessments</v>
      </c>
      <c r="B7" s="491">
        <f>ROW()</f>
        <v>7</v>
      </c>
      <c r="C7" s="491" t="str">
        <f>'Cover Page'!K6</f>
        <v>1026</v>
      </c>
      <c r="D7" s="491">
        <f>'Cover Page'!K4</f>
        <v>2016</v>
      </c>
      <c r="E7" s="491" t="s">
        <v>2031</v>
      </c>
      <c r="F7" s="491" t="s">
        <v>2139</v>
      </c>
      <c r="G7" s="491" t="s">
        <v>2143</v>
      </c>
      <c r="H7" s="505">
        <f t="shared" ca="1" si="1"/>
        <v>44273</v>
      </c>
      <c r="J7" s="94" t="s">
        <v>107</v>
      </c>
      <c r="K7" s="20" t="s">
        <v>108</v>
      </c>
      <c r="L7" s="514"/>
      <c r="M7" s="515"/>
      <c r="N7" s="520">
        <f t="shared" si="2"/>
        <v>0</v>
      </c>
      <c r="O7" s="519"/>
      <c r="P7" s="18"/>
      <c r="Q7" s="94" t="s">
        <v>109</v>
      </c>
      <c r="R7" s="20" t="s">
        <v>110</v>
      </c>
      <c r="S7" s="95"/>
      <c r="T7" s="264"/>
      <c r="U7" s="310">
        <f t="shared" si="3"/>
        <v>0</v>
      </c>
    </row>
    <row r="8" spans="1:21" s="20" customFormat="1">
      <c r="A8" s="491" t="str">
        <f t="shared" ca="1" si="0"/>
        <v>UFB-5 Tax Assessments</v>
      </c>
      <c r="B8" s="491">
        <f>ROW()</f>
        <v>8</v>
      </c>
      <c r="C8" s="491" t="str">
        <f>'Cover Page'!K6</f>
        <v>1026</v>
      </c>
      <c r="D8" s="491">
        <f>'Cover Page'!K4</f>
        <v>2016</v>
      </c>
      <c r="E8" s="491" t="s">
        <v>2031</v>
      </c>
      <c r="F8" s="491" t="s">
        <v>2139</v>
      </c>
      <c r="G8" s="491" t="s">
        <v>2144</v>
      </c>
      <c r="H8" s="505">
        <f t="shared" ca="1" si="1"/>
        <v>44273</v>
      </c>
      <c r="J8" s="94" t="s">
        <v>111</v>
      </c>
      <c r="K8" s="14" t="s">
        <v>112</v>
      </c>
      <c r="L8" s="514"/>
      <c r="M8" s="515"/>
      <c r="N8" s="520">
        <f t="shared" si="2"/>
        <v>0</v>
      </c>
      <c r="O8" s="519"/>
      <c r="P8" s="18"/>
      <c r="Q8" s="94" t="s">
        <v>113</v>
      </c>
      <c r="R8" s="14" t="s">
        <v>313</v>
      </c>
      <c r="S8" s="95"/>
      <c r="T8" s="264"/>
      <c r="U8" s="310">
        <f t="shared" si="3"/>
        <v>0</v>
      </c>
    </row>
    <row r="9" spans="1:21" s="20" customFormat="1">
      <c r="A9" s="491" t="str">
        <f ca="1">MID(CELL("filename",A9),FIND("]",CELL("filename",A9))+1,256)</f>
        <v>UFB-5 Tax Assessments</v>
      </c>
      <c r="B9" s="491">
        <f>ROW()</f>
        <v>9</v>
      </c>
      <c r="C9" s="491" t="str">
        <f>'Cover Page'!K6</f>
        <v>1026</v>
      </c>
      <c r="D9" s="491">
        <f>'Cover Page'!K4</f>
        <v>2016</v>
      </c>
      <c r="E9" s="491" t="s">
        <v>2031</v>
      </c>
      <c r="F9" s="491" t="s">
        <v>2139</v>
      </c>
      <c r="G9" s="491" t="s">
        <v>2145</v>
      </c>
      <c r="H9" s="505">
        <f t="shared" ca="1" si="1"/>
        <v>44273</v>
      </c>
      <c r="J9" s="94" t="s">
        <v>114</v>
      </c>
      <c r="K9" s="14" t="s">
        <v>115</v>
      </c>
      <c r="L9" s="514"/>
      <c r="M9" s="515"/>
      <c r="N9" s="520">
        <f t="shared" si="2"/>
        <v>0</v>
      </c>
      <c r="O9" s="519"/>
      <c r="P9" s="18"/>
      <c r="Q9" s="94" t="s">
        <v>116</v>
      </c>
      <c r="R9" s="14" t="s">
        <v>117</v>
      </c>
      <c r="S9" s="95"/>
      <c r="T9" s="264"/>
      <c r="U9" s="310">
        <f t="shared" si="3"/>
        <v>0</v>
      </c>
    </row>
    <row r="10" spans="1:21" s="20" customFormat="1">
      <c r="A10" s="491" t="str">
        <f ca="1">MID(CELL("filename",A10),FIND("]",CELL("filename",A10))+1,256)</f>
        <v>UFB-5 Tax Assessments</v>
      </c>
      <c r="B10" s="491">
        <f>ROW()</f>
        <v>10</v>
      </c>
      <c r="C10" s="491" t="str">
        <f>'Cover Page'!K6</f>
        <v>1026</v>
      </c>
      <c r="D10" s="491">
        <f>'Cover Page'!K4</f>
        <v>2016</v>
      </c>
      <c r="E10" s="491" t="s">
        <v>2031</v>
      </c>
      <c r="F10" s="491" t="s">
        <v>2139</v>
      </c>
      <c r="G10" s="491" t="s">
        <v>2146</v>
      </c>
      <c r="H10" s="505">
        <f t="shared" ca="1" si="1"/>
        <v>44273</v>
      </c>
      <c r="J10" s="94" t="s">
        <v>310</v>
      </c>
      <c r="K10" s="14" t="s">
        <v>309</v>
      </c>
      <c r="L10" s="514"/>
      <c r="M10" s="515"/>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1026</v>
      </c>
      <c r="D11" s="491">
        <f>'Cover Page'!K4</f>
        <v>2016</v>
      </c>
      <c r="E11" s="491" t="s">
        <v>2031</v>
      </c>
      <c r="F11" s="491" t="s">
        <v>2139</v>
      </c>
      <c r="G11" s="491" t="s">
        <v>2147</v>
      </c>
      <c r="H11" s="505">
        <f t="shared" ca="1" si="1"/>
        <v>44273</v>
      </c>
      <c r="J11" s="94" t="s">
        <v>311</v>
      </c>
      <c r="K11" s="14" t="s">
        <v>118</v>
      </c>
      <c r="L11" s="514"/>
      <c r="M11" s="515"/>
      <c r="N11" s="520">
        <f t="shared" si="2"/>
        <v>0</v>
      </c>
      <c r="O11" s="519"/>
      <c r="P11" s="18"/>
      <c r="Q11" s="94"/>
      <c r="R11" s="14"/>
      <c r="S11" s="14"/>
      <c r="T11" s="266"/>
      <c r="U11" s="97"/>
    </row>
    <row r="12" spans="1:21" s="20" customFormat="1" ht="14.25" thickTop="1" thickBot="1">
      <c r="A12" s="491" t="str">
        <f t="shared" ca="1" si="0"/>
        <v>UFB-5 Tax Assessments</v>
      </c>
      <c r="B12" s="491">
        <f>ROW()</f>
        <v>12</v>
      </c>
      <c r="C12" s="491" t="str">
        <f>'Cover Page'!K6</f>
        <v>1026</v>
      </c>
      <c r="D12" s="491">
        <f>'Cover Page'!K4</f>
        <v>2016</v>
      </c>
      <c r="E12" s="491" t="s">
        <v>2031</v>
      </c>
      <c r="F12" s="491" t="s">
        <v>2139</v>
      </c>
      <c r="G12" s="491" t="s">
        <v>2148</v>
      </c>
      <c r="H12" s="505">
        <f t="shared" ca="1" si="1"/>
        <v>44273</v>
      </c>
      <c r="J12" s="98"/>
      <c r="K12" s="29" t="s">
        <v>97</v>
      </c>
      <c r="L12" s="312">
        <f>SUM(L4:L11)</f>
        <v>0</v>
      </c>
      <c r="M12" s="313">
        <f>SUM(M4:M11)</f>
        <v>0</v>
      </c>
      <c r="N12" s="311">
        <f>SUM(N4:N11)</f>
        <v>0</v>
      </c>
      <c r="O12" s="116"/>
      <c r="P12" s="18"/>
      <c r="Q12" s="91"/>
      <c r="R12" s="29" t="s">
        <v>97</v>
      </c>
      <c r="S12" s="312">
        <f>SUM(S4:S9)</f>
        <v>0</v>
      </c>
      <c r="T12" s="313">
        <f>SUM(T4:T9)</f>
        <v>0</v>
      </c>
      <c r="U12" s="311">
        <f>SUM(U4:U9)</f>
        <v>0</v>
      </c>
    </row>
    <row r="13" spans="1:21" s="20" customFormat="1" ht="13.5" thickTop="1">
      <c r="A13" s="491" t="str">
        <f t="shared" ca="1" si="0"/>
        <v>UFB-5 Tax Assessments</v>
      </c>
      <c r="B13" s="491">
        <f>ROW()</f>
        <v>13</v>
      </c>
      <c r="C13" s="491" t="str">
        <f>'Cover Page'!K6</f>
        <v>1026</v>
      </c>
      <c r="D13" s="491">
        <f>'Cover Page'!K4</f>
        <v>2016</v>
      </c>
      <c r="E13" s="491" t="s">
        <v>2031</v>
      </c>
      <c r="F13" s="491" t="s">
        <v>2139</v>
      </c>
      <c r="G13" s="491"/>
      <c r="H13" s="505">
        <f t="shared" ca="1" si="1"/>
        <v>44273</v>
      </c>
      <c r="J13" s="26"/>
      <c r="O13" s="116"/>
      <c r="P13" s="18"/>
      <c r="Q13" s="98"/>
      <c r="U13" s="327"/>
    </row>
    <row r="14" spans="1:21" s="20" customFormat="1" ht="13.5" thickBot="1">
      <c r="A14" s="491" t="str">
        <f t="shared" ca="1" si="0"/>
        <v>UFB-5 Tax Assessments</v>
      </c>
      <c r="B14" s="491">
        <f>ROW()</f>
        <v>14</v>
      </c>
      <c r="C14" s="491" t="str">
        <f>'Cover Page'!K6</f>
        <v>1026</v>
      </c>
      <c r="D14" s="491">
        <f>'Cover Page'!K4</f>
        <v>2016</v>
      </c>
      <c r="E14" s="491" t="s">
        <v>2031</v>
      </c>
      <c r="F14" s="491" t="s">
        <v>2139</v>
      </c>
      <c r="G14" s="491" t="s">
        <v>2149</v>
      </c>
      <c r="H14" s="505">
        <f t="shared" ca="1" si="1"/>
        <v>44273</v>
      </c>
      <c r="J14" s="91"/>
      <c r="K14" s="480" t="s">
        <v>119</v>
      </c>
      <c r="L14" s="481"/>
      <c r="M14" s="483"/>
      <c r="N14" s="14"/>
      <c r="O14" s="116"/>
      <c r="P14" s="18"/>
      <c r="Q14" s="91"/>
      <c r="R14" s="14"/>
      <c r="S14" s="14"/>
      <c r="T14" s="14"/>
      <c r="U14" s="116"/>
    </row>
    <row r="15" spans="1:21" s="20" customFormat="1" ht="14.25" thickTop="1" thickBot="1">
      <c r="A15" s="491" t="str">
        <f t="shared" ca="1" si="0"/>
        <v>UFB-5 Tax Assessments</v>
      </c>
      <c r="B15" s="491">
        <f>ROW()</f>
        <v>15</v>
      </c>
      <c r="C15" s="491" t="str">
        <f>'Cover Page'!K6</f>
        <v>1026</v>
      </c>
      <c r="D15" s="491">
        <f>'Cover Page'!K4</f>
        <v>2016</v>
      </c>
      <c r="E15" s="491" t="s">
        <v>2031</v>
      </c>
      <c r="F15" s="491" t="s">
        <v>2139</v>
      </c>
      <c r="G15" s="491" t="s">
        <v>2150</v>
      </c>
      <c r="H15" s="505">
        <f t="shared" ca="1" si="1"/>
        <v>44273</v>
      </c>
      <c r="J15" s="91"/>
      <c r="K15" s="480" t="s">
        <v>120</v>
      </c>
      <c r="L15" s="482"/>
      <c r="M15" s="484">
        <f>IF(M12&gt;0,M12/M14,0)</f>
        <v>0</v>
      </c>
      <c r="N15" s="14"/>
      <c r="O15" s="116"/>
      <c r="P15" s="18"/>
      <c r="Q15" s="91"/>
      <c r="R15" s="8" t="s">
        <v>277</v>
      </c>
      <c r="S15" s="14"/>
      <c r="T15" s="14"/>
      <c r="U15" s="12"/>
    </row>
    <row r="16" spans="1:21" s="20" customFormat="1" ht="13.5" thickTop="1">
      <c r="A16" s="491" t="str">
        <f t="shared" ca="1" si="0"/>
        <v>UFB-5 Tax Assessments</v>
      </c>
      <c r="B16" s="491">
        <f>ROW()</f>
        <v>16</v>
      </c>
      <c r="C16" s="491" t="str">
        <f>'Cover Page'!K6</f>
        <v>1026</v>
      </c>
      <c r="D16" s="491">
        <f>'Cover Page'!K4</f>
        <v>2016</v>
      </c>
      <c r="E16" s="491" t="s">
        <v>2031</v>
      </c>
      <c r="F16" s="491" t="s">
        <v>2139</v>
      </c>
      <c r="G16" s="491" t="s">
        <v>2156</v>
      </c>
      <c r="H16" s="505">
        <f>'Cover Page'!M38</f>
        <v>0</v>
      </c>
      <c r="J16" s="91"/>
      <c r="N16" s="14"/>
      <c r="O16" s="116"/>
      <c r="P16" s="18"/>
      <c r="Q16" s="91"/>
      <c r="R16" s="20" t="s">
        <v>261</v>
      </c>
      <c r="S16" s="28" t="e">
        <f>T12/M12</f>
        <v>#DIV/0!</v>
      </c>
      <c r="T16" s="14"/>
      <c r="U16" s="12"/>
    </row>
    <row r="17" spans="1:21" s="20" customFormat="1" ht="13.5" thickBot="1">
      <c r="A17" s="491" t="str">
        <f t="shared" ca="1" si="0"/>
        <v>UFB-5 Tax Assessments</v>
      </c>
      <c r="B17" s="491">
        <f>ROW()</f>
        <v>17</v>
      </c>
      <c r="C17" s="491" t="str">
        <f>'Cover Page'!K6</f>
        <v>1026</v>
      </c>
      <c r="D17" s="491">
        <f>'Cover Page'!K4</f>
        <v>2016</v>
      </c>
      <c r="E17" s="491" t="s">
        <v>2031</v>
      </c>
      <c r="F17" s="491" t="s">
        <v>2139</v>
      </c>
      <c r="G17" s="491" t="s">
        <v>2151</v>
      </c>
      <c r="H17" s="505">
        <f>'Cover Page'!M38</f>
        <v>0</v>
      </c>
      <c r="J17" s="94"/>
      <c r="K17" s="485" t="str">
        <f>"        Total # of property tax appeals filed in "&amp;'Cover Page'!K4-1</f>
        <v xml:space="preserve">        Total # of property tax appeals filed in 2015</v>
      </c>
      <c r="L17" s="488"/>
      <c r="M17" s="489" t="s">
        <v>123</v>
      </c>
      <c r="N17" s="644"/>
      <c r="O17" s="521"/>
      <c r="P17" s="18"/>
      <c r="Q17" s="91"/>
      <c r="T17" s="93"/>
      <c r="U17" s="12"/>
    </row>
    <row r="18" spans="1:21" s="20" customFormat="1" ht="14.25" thickTop="1" thickBot="1">
      <c r="A18" s="491" t="str">
        <f t="shared" ca="1" si="0"/>
        <v>UFB-5 Tax Assessments</v>
      </c>
      <c r="B18" s="491">
        <f>ROW()</f>
        <v>18</v>
      </c>
      <c r="C18" s="491" t="str">
        <f>'Cover Page'!K6</f>
        <v>1026</v>
      </c>
      <c r="D18" s="491">
        <f>'Cover Page'!K4</f>
        <v>2016</v>
      </c>
      <c r="E18" s="491" t="s">
        <v>2031</v>
      </c>
      <c r="F18" s="491" t="s">
        <v>2139</v>
      </c>
      <c r="G18" s="491" t="s">
        <v>2152</v>
      </c>
      <c r="H18" s="505">
        <f>'Cover Page'!M38</f>
        <v>0</v>
      </c>
      <c r="J18" s="94"/>
      <c r="L18" s="99"/>
      <c r="M18" s="489" t="s">
        <v>122</v>
      </c>
      <c r="N18" s="645"/>
      <c r="O18" s="521"/>
      <c r="P18" s="18"/>
      <c r="Q18" s="91"/>
      <c r="S18" s="309"/>
      <c r="T18" s="99"/>
      <c r="U18" s="12"/>
    </row>
    <row r="19" spans="1:21" s="20" customFormat="1" ht="14.25" thickTop="1" thickBot="1">
      <c r="A19" s="491" t="str">
        <f t="shared" ca="1" si="0"/>
        <v>UFB-5 Tax Assessments</v>
      </c>
      <c r="B19" s="491">
        <f>ROW()</f>
        <v>19</v>
      </c>
      <c r="C19" s="491" t="str">
        <f>'Cover Page'!K6</f>
        <v>1026</v>
      </c>
      <c r="D19" s="491">
        <f>'Cover Page'!K4</f>
        <v>2016</v>
      </c>
      <c r="E19" s="491" t="s">
        <v>2031</v>
      </c>
      <c r="F19" s="491" t="s">
        <v>2139</v>
      </c>
      <c r="G19" s="491" t="s">
        <v>2153</v>
      </c>
      <c r="H19" s="505">
        <f>'Cover Page'!M38</f>
        <v>0</v>
      </c>
      <c r="J19" s="91"/>
      <c r="K19" s="485" t="str">
        <f>"Number of "&amp;'Cover Page'!K4-1&amp;" County Tax Board decisions appealed to Tax Court"</f>
        <v>Number of 2015 County Tax Board decisions appealed to Tax Court</v>
      </c>
      <c r="L19" s="486"/>
      <c r="M19" s="487"/>
      <c r="N19" s="644"/>
      <c r="O19" s="522"/>
      <c r="P19" s="31"/>
      <c r="Q19" s="91"/>
      <c r="R19" s="8"/>
      <c r="S19" s="90"/>
      <c r="T19" s="90"/>
      <c r="U19" s="12"/>
    </row>
    <row r="20" spans="1:21" s="20" customFormat="1" ht="14.25" thickTop="1" thickBot="1">
      <c r="A20" s="491" t="str">
        <f t="shared" ca="1" si="0"/>
        <v>UFB-5 Tax Assessments</v>
      </c>
      <c r="B20" s="491">
        <f>ROW()</f>
        <v>20</v>
      </c>
      <c r="C20" s="491" t="str">
        <f>'Cover Page'!K6</f>
        <v>1026</v>
      </c>
      <c r="D20" s="491">
        <f>'Cover Page'!K4</f>
        <v>2016</v>
      </c>
      <c r="E20" s="491" t="s">
        <v>2031</v>
      </c>
      <c r="F20" s="491" t="s">
        <v>2139</v>
      </c>
      <c r="G20" s="491" t="s">
        <v>2154</v>
      </c>
      <c r="H20" s="505">
        <f>'Cover Page'!M38</f>
        <v>0</v>
      </c>
      <c r="J20" s="91"/>
      <c r="K20" s="485" t="s">
        <v>2285</v>
      </c>
      <c r="L20" s="486"/>
      <c r="M20" s="487"/>
      <c r="N20" s="644"/>
      <c r="O20" s="522"/>
      <c r="P20" s="31"/>
      <c r="Q20" s="91"/>
      <c r="R20" s="8"/>
      <c r="S20" s="90"/>
      <c r="T20" s="90"/>
      <c r="U20" s="12"/>
    </row>
    <row r="21" spans="1:21" s="20" customFormat="1" ht="13.5" thickTop="1">
      <c r="A21" s="491" t="str">
        <f t="shared" ca="1" si="0"/>
        <v>UFB-5 Tax Assessments</v>
      </c>
      <c r="B21" s="491">
        <f>ROW()</f>
        <v>21</v>
      </c>
      <c r="C21" s="491" t="str">
        <f>'Cover Page'!K6</f>
        <v>1026</v>
      </c>
      <c r="D21" s="491">
        <f>'Cover Page'!K4</f>
        <v>2016</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1026</v>
      </c>
      <c r="D22" s="491">
        <f>'Cover Page'!K4</f>
        <v>2016</v>
      </c>
      <c r="E22" s="491" t="s">
        <v>2031</v>
      </c>
      <c r="F22" s="491" t="s">
        <v>2139</v>
      </c>
      <c r="G22" s="491" t="s">
        <v>2155</v>
      </c>
      <c r="H22" s="505">
        <f>'Cover Page'!M38</f>
        <v>0</v>
      </c>
      <c r="J22" s="91"/>
      <c r="K22" s="485" t="str">
        <f>"Amount paid out by municipality for tax appeals in "&amp;'Cover Page'!K4-1</f>
        <v>Amount paid out by municipality for tax appeals in 2015</v>
      </c>
      <c r="L22" s="486"/>
      <c r="M22" s="487"/>
      <c r="N22" s="252"/>
      <c r="O22" s="522"/>
      <c r="P22" s="31"/>
      <c r="Q22" s="91"/>
      <c r="R22" s="8"/>
      <c r="S22" s="90"/>
      <c r="T22" s="90"/>
      <c r="U22" s="12"/>
    </row>
    <row r="23" spans="1:21" s="20" customFormat="1" ht="13.5" thickTop="1">
      <c r="A23" s="491" t="str">
        <f t="shared" ca="1" si="0"/>
        <v>UFB-5 Tax Assessments</v>
      </c>
      <c r="B23" s="491">
        <f>ROW()</f>
        <v>23</v>
      </c>
      <c r="C23" s="491" t="str">
        <f>'Cover Page'!K6</f>
        <v>1026</v>
      </c>
      <c r="D23" s="491">
        <f>'Cover Page'!K4</f>
        <v>2016</v>
      </c>
      <c r="E23" s="491" t="s">
        <v>2031</v>
      </c>
      <c r="F23" s="491" t="s">
        <v>2139</v>
      </c>
      <c r="G23" s="491"/>
      <c r="H23" s="505">
        <f>'Cover Page'!M38</f>
        <v>0</v>
      </c>
      <c r="J23" s="91"/>
      <c r="O23" s="522"/>
      <c r="P23" s="31"/>
      <c r="Q23" s="627"/>
      <c r="R23" s="628"/>
      <c r="S23" s="629"/>
      <c r="T23" s="629"/>
      <c r="U23" s="40"/>
    </row>
    <row r="24" spans="1:21">
      <c r="A24" s="491" t="str">
        <f t="shared" ca="1" si="0"/>
        <v>UFB-5 Tax Assessments</v>
      </c>
      <c r="B24" s="491">
        <f>ROW()</f>
        <v>24</v>
      </c>
      <c r="C24" s="491" t="str">
        <f>'Cover Page'!K6</f>
        <v>1026</v>
      </c>
      <c r="D24" s="491">
        <f>'Cover Page'!K4</f>
        <v>2016</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1026</v>
      </c>
      <c r="D25" s="491">
        <f>'Cover Page'!K4</f>
        <v>2016</v>
      </c>
      <c r="E25" s="491" t="s">
        <v>2031</v>
      </c>
      <c r="F25" s="491" t="s">
        <v>2234</v>
      </c>
      <c r="G25" s="491"/>
      <c r="H25" s="505">
        <f>'Cover Page'!M38</f>
        <v>0</v>
      </c>
      <c r="J25" s="104"/>
      <c r="K25" s="719" t="s">
        <v>125</v>
      </c>
      <c r="L25" s="719"/>
      <c r="M25" s="719"/>
      <c r="N25" s="719"/>
      <c r="O25" s="719"/>
      <c r="P25" s="20"/>
      <c r="Q25" s="511"/>
      <c r="R25" s="12"/>
    </row>
    <row r="26" spans="1:21">
      <c r="A26" s="491" t="str">
        <f t="shared" ca="1" si="0"/>
        <v>UFB-5 Tax Assessments</v>
      </c>
      <c r="B26" s="491">
        <f>ROW()</f>
        <v>26</v>
      </c>
      <c r="C26" s="491" t="str">
        <f>'Cover Page'!K6</f>
        <v>1026</v>
      </c>
      <c r="D26" s="491">
        <f>'Cover Page'!K4</f>
        <v>2016</v>
      </c>
      <c r="E26" s="491" t="s">
        <v>2031</v>
      </c>
      <c r="F26" s="491" t="s">
        <v>2234</v>
      </c>
      <c r="G26" s="491"/>
      <c r="H26" s="505">
        <f>'Cover Page'!M38</f>
        <v>0</v>
      </c>
      <c r="J26" s="91"/>
      <c r="K26" s="14"/>
      <c r="L26" s="92" t="s">
        <v>212</v>
      </c>
      <c r="M26" s="108" t="s">
        <v>129</v>
      </c>
      <c r="N26" s="14"/>
      <c r="O26" s="721" t="s">
        <v>270</v>
      </c>
      <c r="P26" s="721"/>
      <c r="Q26" s="721"/>
      <c r="R26" s="721"/>
    </row>
    <row r="27" spans="1:21">
      <c r="A27" s="491" t="str">
        <f t="shared" ca="1" si="0"/>
        <v>UFB-5 Tax Assessments</v>
      </c>
      <c r="B27" s="491">
        <f>ROW()</f>
        <v>27</v>
      </c>
      <c r="C27" s="491" t="str">
        <f>'Cover Page'!K6</f>
        <v>1026</v>
      </c>
      <c r="D27" s="491">
        <f>'Cover Page'!K4</f>
        <v>2016</v>
      </c>
      <c r="E27" s="491" t="s">
        <v>2031</v>
      </c>
      <c r="F27" s="491" t="s">
        <v>2234</v>
      </c>
      <c r="G27" s="491"/>
      <c r="H27" s="505">
        <f>'Cover Page'!M38</f>
        <v>0</v>
      </c>
      <c r="J27" s="110"/>
      <c r="K27" s="99"/>
      <c r="L27" s="92" t="s">
        <v>271</v>
      </c>
      <c r="M27" s="108" t="s">
        <v>133</v>
      </c>
      <c r="N27" s="93" t="s">
        <v>96</v>
      </c>
      <c r="O27" s="720" t="str">
        <f>'Cover Page'!K4-1&amp;" Total Tax Rate"</f>
        <v>2015 Total Tax Rate</v>
      </c>
      <c r="P27" s="720"/>
      <c r="Q27" s="720"/>
      <c r="R27" s="720"/>
    </row>
    <row r="28" spans="1:21">
      <c r="A28" s="491" t="str">
        <f t="shared" ca="1" si="0"/>
        <v>UFB-5 Tax Assessments</v>
      </c>
      <c r="B28" s="491">
        <f>ROW()</f>
        <v>28</v>
      </c>
      <c r="C28" s="491" t="str">
        <f>'Cover Page'!K6</f>
        <v>1026</v>
      </c>
      <c r="D28" s="491">
        <f>'Cover Page'!K4</f>
        <v>2016</v>
      </c>
      <c r="E28" s="491" t="s">
        <v>2031</v>
      </c>
      <c r="F28" s="491" t="s">
        <v>2234</v>
      </c>
      <c r="G28" s="491" t="s">
        <v>2226</v>
      </c>
      <c r="H28" s="505">
        <f>'Cover Page'!M38</f>
        <v>0</v>
      </c>
      <c r="J28" s="110" t="s">
        <v>307</v>
      </c>
      <c r="K28" s="111" t="s">
        <v>308</v>
      </c>
      <c r="L28" s="512"/>
      <c r="M28" s="513"/>
      <c r="N28" s="513"/>
      <c r="O28" s="713"/>
      <c r="P28" s="714"/>
      <c r="Q28" s="714"/>
      <c r="R28" s="715"/>
    </row>
    <row r="29" spans="1:21">
      <c r="A29" s="491" t="str">
        <f t="shared" ca="1" si="0"/>
        <v>UFB-5 Tax Assessments</v>
      </c>
      <c r="B29" s="491">
        <f>ROW()</f>
        <v>29</v>
      </c>
      <c r="C29" s="491" t="str">
        <f>'Cover Page'!K6</f>
        <v>1026</v>
      </c>
      <c r="D29" s="491">
        <f>'Cover Page'!K4</f>
        <v>2016</v>
      </c>
      <c r="E29" s="491" t="s">
        <v>2031</v>
      </c>
      <c r="F29" s="491" t="s">
        <v>2234</v>
      </c>
      <c r="G29" s="491" t="s">
        <v>2227</v>
      </c>
      <c r="H29" s="505">
        <f>'Cover Page'!M38</f>
        <v>0</v>
      </c>
      <c r="J29" s="105" t="s">
        <v>137</v>
      </c>
      <c r="K29" s="111" t="s">
        <v>138</v>
      </c>
      <c r="L29" s="512"/>
      <c r="M29" s="513"/>
      <c r="N29" s="513"/>
      <c r="O29" s="713"/>
      <c r="P29" s="714"/>
      <c r="Q29" s="714"/>
      <c r="R29" s="715"/>
    </row>
    <row r="30" spans="1:21">
      <c r="A30" s="491" t="str">
        <f t="shared" ca="1" si="0"/>
        <v>UFB-5 Tax Assessments</v>
      </c>
      <c r="B30" s="491">
        <f>ROW()</f>
        <v>30</v>
      </c>
      <c r="C30" s="491" t="str">
        <f>'Cover Page'!K6</f>
        <v>1026</v>
      </c>
      <c r="D30" s="491">
        <f>'Cover Page'!K4</f>
        <v>2016</v>
      </c>
      <c r="E30" s="491" t="s">
        <v>2031</v>
      </c>
      <c r="F30" s="491" t="s">
        <v>2234</v>
      </c>
      <c r="G30" s="491" t="s">
        <v>2228</v>
      </c>
      <c r="H30" s="505">
        <f>'Cover Page'!M38</f>
        <v>0</v>
      </c>
      <c r="J30" s="105" t="s">
        <v>139</v>
      </c>
      <c r="K30" s="114" t="s">
        <v>140</v>
      </c>
      <c r="L30" s="514"/>
      <c r="M30" s="515"/>
      <c r="N30" s="515"/>
      <c r="O30" s="713"/>
      <c r="P30" s="714"/>
      <c r="Q30" s="714"/>
      <c r="R30" s="715"/>
    </row>
    <row r="31" spans="1:21">
      <c r="A31" s="491" t="str">
        <f t="shared" ca="1" si="0"/>
        <v>UFB-5 Tax Assessments</v>
      </c>
      <c r="B31" s="491">
        <f>ROW()</f>
        <v>31</v>
      </c>
      <c r="C31" s="491" t="str">
        <f>'Cover Page'!K6</f>
        <v>1026</v>
      </c>
      <c r="D31" s="491">
        <f>'Cover Page'!K4</f>
        <v>2016</v>
      </c>
      <c r="E31" s="491" t="s">
        <v>2031</v>
      </c>
      <c r="F31" s="491" t="s">
        <v>2234</v>
      </c>
      <c r="G31" s="491" t="s">
        <v>2229</v>
      </c>
      <c r="H31" s="505">
        <f>'Cover Page'!M38</f>
        <v>0</v>
      </c>
      <c r="J31" s="110" t="s">
        <v>141</v>
      </c>
      <c r="K31" s="115" t="s">
        <v>142</v>
      </c>
      <c r="L31" s="512"/>
      <c r="M31" s="513"/>
      <c r="N31" s="513"/>
      <c r="O31" s="713"/>
      <c r="P31" s="714"/>
      <c r="Q31" s="714"/>
      <c r="R31" s="715"/>
    </row>
    <row r="32" spans="1:21">
      <c r="A32" s="491" t="str">
        <f t="shared" ca="1" si="0"/>
        <v>UFB-5 Tax Assessments</v>
      </c>
      <c r="B32" s="491">
        <f>ROW()</f>
        <v>32</v>
      </c>
      <c r="C32" s="491" t="str">
        <f>'Cover Page'!K6</f>
        <v>1026</v>
      </c>
      <c r="D32" s="491">
        <f>'Cover Page'!K4</f>
        <v>2016</v>
      </c>
      <c r="E32" s="491" t="s">
        <v>2031</v>
      </c>
      <c r="F32" s="491" t="s">
        <v>2234</v>
      </c>
      <c r="G32" s="491" t="s">
        <v>2230</v>
      </c>
      <c r="H32" s="505">
        <f>'Cover Page'!M38</f>
        <v>0</v>
      </c>
      <c r="J32" s="110" t="s">
        <v>143</v>
      </c>
      <c r="K32" s="115" t="s">
        <v>144</v>
      </c>
      <c r="L32" s="512"/>
      <c r="M32" s="513"/>
      <c r="N32" s="513"/>
      <c r="O32" s="713"/>
      <c r="P32" s="714"/>
      <c r="Q32" s="714"/>
      <c r="R32" s="715"/>
    </row>
    <row r="33" spans="1:21">
      <c r="A33" s="491" t="str">
        <f t="shared" ca="1" si="0"/>
        <v>UFB-5 Tax Assessments</v>
      </c>
      <c r="B33" s="491">
        <f>ROW()</f>
        <v>33</v>
      </c>
      <c r="C33" s="491" t="str">
        <f>'Cover Page'!K6</f>
        <v>1026</v>
      </c>
      <c r="D33" s="491">
        <f>'Cover Page'!K4</f>
        <v>2016</v>
      </c>
      <c r="E33" s="491" t="s">
        <v>2031</v>
      </c>
      <c r="F33" s="491" t="s">
        <v>2234</v>
      </c>
      <c r="G33" s="491" t="s">
        <v>2231</v>
      </c>
      <c r="H33" s="505">
        <f>'Cover Page'!M38</f>
        <v>0</v>
      </c>
      <c r="J33" s="110" t="s">
        <v>145</v>
      </c>
      <c r="K33" s="114" t="s">
        <v>146</v>
      </c>
      <c r="L33" s="512"/>
      <c r="M33" s="513"/>
      <c r="N33" s="513"/>
      <c r="O33" s="713"/>
      <c r="P33" s="714"/>
      <c r="Q33" s="714"/>
      <c r="R33" s="715"/>
    </row>
    <row r="34" spans="1:21" ht="13.5" thickBot="1">
      <c r="A34" s="491" t="str">
        <f t="shared" ca="1" si="0"/>
        <v>UFB-5 Tax Assessments</v>
      </c>
      <c r="B34" s="491">
        <f>ROW()</f>
        <v>34</v>
      </c>
      <c r="C34" s="491" t="str">
        <f>'Cover Page'!K6</f>
        <v>1026</v>
      </c>
      <c r="D34" s="491">
        <f>'Cover Page'!K4</f>
        <v>2016</v>
      </c>
      <c r="E34" s="491" t="s">
        <v>2031</v>
      </c>
      <c r="F34" s="491" t="s">
        <v>2234</v>
      </c>
      <c r="G34" s="491" t="s">
        <v>2232</v>
      </c>
      <c r="H34" s="505">
        <f>'Cover Page'!M38</f>
        <v>0</v>
      </c>
      <c r="J34" s="110" t="s">
        <v>147</v>
      </c>
      <c r="K34" s="114" t="s">
        <v>148</v>
      </c>
      <c r="L34" s="512"/>
      <c r="M34" s="513"/>
      <c r="N34" s="513"/>
      <c r="O34" s="713"/>
      <c r="P34" s="714"/>
      <c r="Q34" s="714"/>
      <c r="R34" s="715"/>
    </row>
    <row r="35" spans="1:21" ht="13.5" thickTop="1">
      <c r="A35" s="491" t="str">
        <f t="shared" ca="1" si="0"/>
        <v>UFB-5 Tax Assessments</v>
      </c>
      <c r="B35" s="491">
        <f>ROW()</f>
        <v>35</v>
      </c>
      <c r="C35" s="491" t="str">
        <f>'Cover Page'!K6</f>
        <v>1026</v>
      </c>
      <c r="D35" s="491">
        <f>'Cover Page'!K4</f>
        <v>2016</v>
      </c>
      <c r="E35" s="491" t="s">
        <v>2031</v>
      </c>
      <c r="F35" s="491" t="s">
        <v>2234</v>
      </c>
      <c r="G35" s="491" t="s">
        <v>2233</v>
      </c>
      <c r="H35" s="505">
        <f>'Cover Page'!M38</f>
        <v>0</v>
      </c>
      <c r="J35" s="119"/>
      <c r="K35" s="24" t="s">
        <v>149</v>
      </c>
      <c r="L35" s="517">
        <f>SUM(L28:L34)</f>
        <v>0</v>
      </c>
      <c r="M35" s="518">
        <f>SUM(M28:M34)</f>
        <v>0</v>
      </c>
      <c r="N35" s="518">
        <f>SUM(N28:N34)</f>
        <v>0</v>
      </c>
      <c r="O35" s="716">
        <f>SUM(O28:O34)</f>
        <v>0</v>
      </c>
      <c r="P35" s="717"/>
      <c r="Q35" s="717"/>
      <c r="R35" s="718"/>
    </row>
    <row r="36" spans="1:21" ht="14.25">
      <c r="A36" s="491"/>
      <c r="B36" s="491"/>
      <c r="C36" s="491"/>
      <c r="D36" s="491"/>
      <c r="E36" s="491"/>
      <c r="F36" s="491"/>
      <c r="G36" s="491"/>
      <c r="H36" s="505"/>
      <c r="J36" s="705" t="s">
        <v>124</v>
      </c>
      <c r="K36" s="705"/>
      <c r="L36" s="705"/>
      <c r="M36" s="705"/>
      <c r="N36" s="705"/>
      <c r="O36" s="705"/>
      <c r="P36" s="705"/>
      <c r="Q36" s="705"/>
      <c r="R36" s="705"/>
      <c r="S36" s="705"/>
      <c r="T36" s="705"/>
      <c r="U36" s="705"/>
    </row>
  </sheetData>
  <sheetProtection password="C7B6"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O1" zoomScaleNormal="100" workbookViewId="0">
      <selection activeCell="Q15" sqref="Q15"/>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2016</v>
      </c>
      <c r="E1" s="101" t="s">
        <v>2031</v>
      </c>
      <c r="F1" s="101" t="s">
        <v>2157</v>
      </c>
      <c r="H1" s="508">
        <v>42073</v>
      </c>
      <c r="J1" s="722"/>
      <c r="K1" s="722"/>
      <c r="L1" s="722"/>
      <c r="M1" s="722"/>
      <c r="N1" s="722"/>
      <c r="O1" s="722"/>
      <c r="P1" s="385"/>
      <c r="Q1" s="722" t="s">
        <v>0</v>
      </c>
      <c r="R1" s="722"/>
      <c r="S1" s="722"/>
      <c r="T1" s="722"/>
      <c r="U1" s="722"/>
      <c r="V1" s="722"/>
      <c r="W1" s="722"/>
      <c r="X1" s="722"/>
      <c r="Y1" s="722"/>
      <c r="Z1" s="722"/>
      <c r="AA1" s="722"/>
      <c r="AB1" s="722"/>
    </row>
    <row r="2" spans="1:33" ht="18.75">
      <c r="A2" s="101" t="s">
        <v>2040</v>
      </c>
      <c r="B2" s="101">
        <v>2</v>
      </c>
      <c r="C2" s="101" t="s">
        <v>332</v>
      </c>
      <c r="D2" s="523">
        <f>'Cover Page'!K4</f>
        <v>2016</v>
      </c>
      <c r="E2" s="101" t="s">
        <v>2031</v>
      </c>
      <c r="F2" s="101" t="s">
        <v>2157</v>
      </c>
      <c r="G2" s="101" t="s">
        <v>121</v>
      </c>
      <c r="H2" s="508">
        <v>42073</v>
      </c>
      <c r="J2" s="723"/>
      <c r="K2" s="723"/>
      <c r="L2" s="723"/>
      <c r="M2" s="723"/>
      <c r="N2" s="723"/>
      <c r="O2" s="723"/>
      <c r="P2" s="385"/>
      <c r="Q2" s="723" t="s">
        <v>2286</v>
      </c>
      <c r="R2" s="723"/>
      <c r="S2" s="723"/>
      <c r="T2" s="723"/>
      <c r="U2" s="723"/>
      <c r="V2" s="723"/>
      <c r="W2" s="723"/>
      <c r="X2" s="723"/>
      <c r="Y2" s="723"/>
      <c r="Z2" s="723"/>
      <c r="AA2" s="723"/>
      <c r="AB2" s="723"/>
    </row>
    <row r="3" spans="1:33">
      <c r="A3" s="101" t="s">
        <v>2040</v>
      </c>
      <c r="B3" s="101">
        <v>3</v>
      </c>
      <c r="C3" s="101" t="s">
        <v>332</v>
      </c>
      <c r="D3" s="523">
        <f>'Cover Page'!K4</f>
        <v>2016</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2016</v>
      </c>
      <c r="E4" s="101" t="s">
        <v>2031</v>
      </c>
      <c r="F4" s="101" t="s">
        <v>2157</v>
      </c>
      <c r="G4" s="101" t="s">
        <v>121</v>
      </c>
      <c r="H4" s="508">
        <v>42073</v>
      </c>
      <c r="J4" s="363"/>
      <c r="K4" s="724" t="s">
        <v>126</v>
      </c>
      <c r="L4" s="719"/>
      <c r="M4" s="719"/>
      <c r="N4" s="719"/>
      <c r="O4" s="725"/>
      <c r="P4" s="385"/>
      <c r="Q4" s="719" t="s">
        <v>126</v>
      </c>
      <c r="R4" s="719"/>
      <c r="S4" s="719"/>
      <c r="T4" s="719"/>
      <c r="U4" s="725"/>
      <c r="V4" s="391"/>
      <c r="W4" s="724" t="s">
        <v>126</v>
      </c>
      <c r="X4" s="719"/>
      <c r="Y4" s="719"/>
      <c r="Z4" s="719"/>
      <c r="AA4" s="725"/>
      <c r="AB4" s="391"/>
      <c r="AC4" s="724" t="s">
        <v>126</v>
      </c>
      <c r="AD4" s="719"/>
      <c r="AE4" s="719"/>
      <c r="AF4" s="719"/>
      <c r="AG4" s="725"/>
    </row>
    <row r="5" spans="1:33" ht="12.75" customHeight="1">
      <c r="A5" s="101" t="s">
        <v>2040</v>
      </c>
      <c r="B5" s="101">
        <v>5</v>
      </c>
      <c r="C5" s="101" t="s">
        <v>332</v>
      </c>
      <c r="D5" s="523">
        <f>'Cover Page'!K4</f>
        <v>2016</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2016</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2016</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2016</v>
      </c>
      <c r="E8" s="101" t="s">
        <v>2031</v>
      </c>
      <c r="F8" s="101" t="s">
        <v>2157</v>
      </c>
      <c r="H8" s="505">
        <f>'Cover Page'!M38</f>
        <v>0</v>
      </c>
      <c r="J8" s="364"/>
      <c r="K8" s="91" t="s">
        <v>134</v>
      </c>
      <c r="L8" s="108" t="s">
        <v>135</v>
      </c>
      <c r="M8" s="108" t="s">
        <v>136</v>
      </c>
      <c r="N8" s="93" t="s">
        <v>96</v>
      </c>
      <c r="O8" s="109" t="str">
        <f>'Cover Page'!K4-1&amp;" Total Tax Rate"</f>
        <v>2015 Total Tax Rate</v>
      </c>
      <c r="P8" s="386"/>
      <c r="Q8" s="92" t="s">
        <v>134</v>
      </c>
      <c r="R8" s="108" t="s">
        <v>135</v>
      </c>
      <c r="S8" s="108" t="s">
        <v>136</v>
      </c>
      <c r="T8" s="93" t="s">
        <v>96</v>
      </c>
      <c r="U8" s="561" t="str">
        <f>'Cover Page'!K4-1&amp;" Total Tax Rate"</f>
        <v>2015 Total Tax Rate</v>
      </c>
      <c r="V8" s="393"/>
      <c r="W8" s="91" t="s">
        <v>134</v>
      </c>
      <c r="X8" s="108" t="s">
        <v>135</v>
      </c>
      <c r="Y8" s="108" t="s">
        <v>136</v>
      </c>
      <c r="Z8" s="93" t="s">
        <v>96</v>
      </c>
      <c r="AA8" s="109" t="str">
        <f>'Cover Page'!K4-1&amp;" Total Tax Rate"</f>
        <v>2015 Total Tax Rate</v>
      </c>
      <c r="AB8" s="393"/>
      <c r="AC8" s="91" t="s">
        <v>134</v>
      </c>
      <c r="AD8" s="108" t="s">
        <v>135</v>
      </c>
      <c r="AE8" s="108" t="s">
        <v>136</v>
      </c>
      <c r="AF8" s="93" t="s">
        <v>96</v>
      </c>
      <c r="AG8" s="109" t="str">
        <f>'Cover Page'!K4-1&amp;" Total Tax Rate"</f>
        <v>2015 Total Tax Rate</v>
      </c>
    </row>
    <row r="9" spans="1:33" s="99" customFormat="1">
      <c r="A9" s="99" t="s">
        <v>2040</v>
      </c>
      <c r="B9" s="99">
        <v>9</v>
      </c>
      <c r="C9" s="99" t="s">
        <v>332</v>
      </c>
      <c r="D9" s="523">
        <f>'Cover Page'!K4</f>
        <v>2016</v>
      </c>
      <c r="E9" s="101" t="s">
        <v>2031</v>
      </c>
      <c r="F9" s="101" t="s">
        <v>2157</v>
      </c>
      <c r="G9" s="99" t="s">
        <v>2158</v>
      </c>
      <c r="H9" s="505">
        <f>'Cover Page'!M38</f>
        <v>0</v>
      </c>
      <c r="J9" s="365"/>
      <c r="K9" s="112"/>
      <c r="L9" s="368"/>
      <c r="M9" s="265"/>
      <c r="N9" s="265"/>
      <c r="O9" s="655"/>
      <c r="P9" s="386"/>
      <c r="Q9" s="387"/>
      <c r="R9" s="388"/>
      <c r="S9" s="658"/>
      <c r="T9" s="658"/>
      <c r="U9" s="658"/>
      <c r="V9" s="394"/>
      <c r="W9" s="387"/>
      <c r="X9" s="388"/>
      <c r="Y9" s="658"/>
      <c r="Z9" s="658"/>
      <c r="AA9" s="658"/>
      <c r="AB9" s="394"/>
      <c r="AC9" s="387"/>
      <c r="AD9" s="388"/>
      <c r="AE9" s="658"/>
      <c r="AF9" s="658"/>
      <c r="AG9" s="658"/>
    </row>
    <row r="10" spans="1:33" s="99" customFormat="1">
      <c r="A10" s="99" t="s">
        <v>2040</v>
      </c>
      <c r="B10" s="99">
        <v>10</v>
      </c>
      <c r="C10" s="99" t="s">
        <v>332</v>
      </c>
      <c r="D10" s="523">
        <f>'Cover Page'!K4</f>
        <v>2016</v>
      </c>
      <c r="E10" s="101" t="s">
        <v>2031</v>
      </c>
      <c r="F10" s="101" t="s">
        <v>2157</v>
      </c>
      <c r="G10" s="99" t="s">
        <v>2158</v>
      </c>
      <c r="H10" s="505">
        <f>'Cover Page'!M38</f>
        <v>0</v>
      </c>
      <c r="J10" s="365"/>
      <c r="K10" s="112"/>
      <c r="L10" s="113"/>
      <c r="M10" s="265"/>
      <c r="N10" s="265"/>
      <c r="O10" s="655"/>
      <c r="P10" s="386"/>
      <c r="Q10" s="387"/>
      <c r="R10" s="389"/>
      <c r="S10" s="658"/>
      <c r="T10" s="658"/>
      <c r="U10" s="658"/>
      <c r="V10" s="394"/>
      <c r="W10" s="387"/>
      <c r="X10" s="389"/>
      <c r="Y10" s="658"/>
      <c r="Z10" s="658"/>
      <c r="AA10" s="658"/>
      <c r="AB10" s="394"/>
      <c r="AC10" s="387"/>
      <c r="AD10" s="389"/>
      <c r="AE10" s="658"/>
      <c r="AF10" s="658"/>
      <c r="AG10" s="658"/>
    </row>
    <row r="11" spans="1:33" s="99" customFormat="1">
      <c r="A11" s="99" t="s">
        <v>2040</v>
      </c>
      <c r="B11" s="99">
        <v>11</v>
      </c>
      <c r="C11" s="99" t="s">
        <v>332</v>
      </c>
      <c r="D11" s="523">
        <f>'Cover Page'!K4</f>
        <v>2016</v>
      </c>
      <c r="E11" s="101" t="s">
        <v>2031</v>
      </c>
      <c r="F11" s="101" t="s">
        <v>2157</v>
      </c>
      <c r="G11" s="99" t="s">
        <v>2158</v>
      </c>
      <c r="H11" s="505">
        <f>'Cover Page'!M38</f>
        <v>0</v>
      </c>
      <c r="J11" s="365"/>
      <c r="K11" s="112"/>
      <c r="L11" s="113"/>
      <c r="M11" s="265"/>
      <c r="N11" s="265"/>
      <c r="O11" s="656"/>
      <c r="P11" s="386"/>
      <c r="Q11" s="387"/>
      <c r="R11" s="389"/>
      <c r="S11" s="658"/>
      <c r="T11" s="658"/>
      <c r="U11" s="659"/>
      <c r="V11" s="395"/>
      <c r="W11" s="387"/>
      <c r="X11" s="389"/>
      <c r="Y11" s="658"/>
      <c r="Z11" s="658"/>
      <c r="AA11" s="659"/>
      <c r="AB11" s="395"/>
      <c r="AC11" s="387"/>
      <c r="AD11" s="389"/>
      <c r="AE11" s="658"/>
      <c r="AF11" s="658"/>
      <c r="AG11" s="659"/>
    </row>
    <row r="12" spans="1:33" s="99" customFormat="1">
      <c r="A12" s="99" t="s">
        <v>2040</v>
      </c>
      <c r="B12" s="99">
        <v>12</v>
      </c>
      <c r="C12" s="99" t="s">
        <v>332</v>
      </c>
      <c r="D12" s="523">
        <f>'Cover Page'!K4</f>
        <v>2016</v>
      </c>
      <c r="E12" s="101" t="s">
        <v>2031</v>
      </c>
      <c r="F12" s="101" t="s">
        <v>2157</v>
      </c>
      <c r="G12" s="99" t="s">
        <v>2158</v>
      </c>
      <c r="H12" s="505">
        <f>'Cover Page'!M38</f>
        <v>0</v>
      </c>
      <c r="J12" s="365"/>
      <c r="K12" s="112"/>
      <c r="L12" s="113"/>
      <c r="M12" s="265"/>
      <c r="N12" s="265"/>
      <c r="O12" s="656"/>
      <c r="P12" s="386"/>
      <c r="Q12" s="387"/>
      <c r="R12" s="389"/>
      <c r="S12" s="658"/>
      <c r="T12" s="658"/>
      <c r="U12" s="659"/>
      <c r="V12" s="395"/>
      <c r="W12" s="387"/>
      <c r="X12" s="389"/>
      <c r="Y12" s="658"/>
      <c r="Z12" s="658"/>
      <c r="AA12" s="659"/>
      <c r="AB12" s="395"/>
      <c r="AC12" s="387"/>
      <c r="AD12" s="389"/>
      <c r="AE12" s="658"/>
      <c r="AF12" s="658"/>
      <c r="AG12" s="659"/>
    </row>
    <row r="13" spans="1:33" s="99" customFormat="1">
      <c r="A13" s="99" t="s">
        <v>2040</v>
      </c>
      <c r="B13" s="99">
        <v>13</v>
      </c>
      <c r="C13" s="99" t="s">
        <v>332</v>
      </c>
      <c r="D13" s="523">
        <f>'Cover Page'!K4</f>
        <v>2016</v>
      </c>
      <c r="E13" s="101" t="s">
        <v>2031</v>
      </c>
      <c r="F13" s="101" t="s">
        <v>2157</v>
      </c>
      <c r="G13" s="99" t="s">
        <v>2158</v>
      </c>
      <c r="H13" s="505">
        <f>'Cover Page'!M38</f>
        <v>0</v>
      </c>
      <c r="J13" s="365"/>
      <c r="K13" s="112"/>
      <c r="L13" s="113"/>
      <c r="M13" s="265"/>
      <c r="N13" s="265"/>
      <c r="O13" s="656"/>
      <c r="P13" s="386"/>
      <c r="Q13" s="387"/>
      <c r="R13" s="389"/>
      <c r="S13" s="658"/>
      <c r="T13" s="658"/>
      <c r="U13" s="659"/>
      <c r="V13" s="395"/>
      <c r="W13" s="387"/>
      <c r="X13" s="389"/>
      <c r="Y13" s="658"/>
      <c r="Z13" s="658"/>
      <c r="AA13" s="659"/>
      <c r="AB13" s="395"/>
      <c r="AC13" s="387"/>
      <c r="AD13" s="389"/>
      <c r="AE13" s="658"/>
      <c r="AF13" s="658"/>
      <c r="AG13" s="659"/>
    </row>
    <row r="14" spans="1:33" s="99" customFormat="1">
      <c r="A14" s="99" t="s">
        <v>2040</v>
      </c>
      <c r="B14" s="99">
        <v>14</v>
      </c>
      <c r="C14" s="99" t="s">
        <v>332</v>
      </c>
      <c r="D14" s="523">
        <f>'Cover Page'!K4</f>
        <v>2016</v>
      </c>
      <c r="E14" s="101" t="s">
        <v>2031</v>
      </c>
      <c r="F14" s="101" t="s">
        <v>2157</v>
      </c>
      <c r="G14" s="99" t="s">
        <v>2158</v>
      </c>
      <c r="H14" s="505">
        <f>'Cover Page'!M38</f>
        <v>0</v>
      </c>
      <c r="J14" s="365"/>
      <c r="K14" s="112"/>
      <c r="L14" s="113"/>
      <c r="M14" s="265"/>
      <c r="N14" s="265"/>
      <c r="O14" s="656"/>
      <c r="P14" s="386"/>
      <c r="Q14" s="387"/>
      <c r="R14" s="389"/>
      <c r="S14" s="658"/>
      <c r="T14" s="658"/>
      <c r="U14" s="659"/>
      <c r="V14" s="395"/>
      <c r="W14" s="387"/>
      <c r="X14" s="389"/>
      <c r="Y14" s="658"/>
      <c r="Z14" s="658"/>
      <c r="AA14" s="659"/>
      <c r="AB14" s="395"/>
      <c r="AC14" s="387"/>
      <c r="AD14" s="389"/>
      <c r="AE14" s="658"/>
      <c r="AF14" s="658"/>
      <c r="AG14" s="659"/>
    </row>
    <row r="15" spans="1:33" s="99" customFormat="1" ht="13.15" customHeight="1">
      <c r="A15" s="99" t="s">
        <v>2040</v>
      </c>
      <c r="B15" s="99">
        <v>15</v>
      </c>
      <c r="C15" s="99" t="s">
        <v>332</v>
      </c>
      <c r="D15" s="523">
        <f>'Cover Page'!K4</f>
        <v>2016</v>
      </c>
      <c r="E15" s="101" t="s">
        <v>2031</v>
      </c>
      <c r="F15" s="101" t="s">
        <v>2157</v>
      </c>
      <c r="G15" s="99" t="s">
        <v>2158</v>
      </c>
      <c r="H15" s="505">
        <f>'Cover Page'!M38</f>
        <v>0</v>
      </c>
      <c r="J15" s="365"/>
      <c r="K15" s="112"/>
      <c r="L15" s="113"/>
      <c r="M15" s="265"/>
      <c r="N15" s="265"/>
      <c r="O15" s="656"/>
      <c r="P15" s="386"/>
      <c r="Q15" s="387" t="s">
        <v>2338</v>
      </c>
      <c r="R15" s="389"/>
      <c r="S15" s="658"/>
      <c r="T15" s="658"/>
      <c r="U15" s="659"/>
      <c r="V15" s="395"/>
      <c r="W15" s="387"/>
      <c r="X15" s="389"/>
      <c r="Y15" s="658"/>
      <c r="Z15" s="658"/>
      <c r="AA15" s="659"/>
      <c r="AB15" s="395"/>
      <c r="AC15" s="387"/>
      <c r="AD15" s="389"/>
      <c r="AE15" s="658"/>
      <c r="AF15" s="658"/>
      <c r="AG15" s="659"/>
    </row>
    <row r="16" spans="1:33" s="99" customFormat="1">
      <c r="A16" s="99" t="s">
        <v>2040</v>
      </c>
      <c r="B16" s="99">
        <v>16</v>
      </c>
      <c r="C16" s="99" t="s">
        <v>332</v>
      </c>
      <c r="D16" s="523">
        <f>'Cover Page'!K4</f>
        <v>2016</v>
      </c>
      <c r="E16" s="101" t="s">
        <v>2031</v>
      </c>
      <c r="F16" s="101" t="s">
        <v>2157</v>
      </c>
      <c r="G16" s="99" t="s">
        <v>2158</v>
      </c>
      <c r="H16" s="505">
        <f>'Cover Page'!M38</f>
        <v>0</v>
      </c>
      <c r="J16" s="364"/>
      <c r="K16" s="112"/>
      <c r="L16" s="113"/>
      <c r="M16" s="265"/>
      <c r="N16" s="265"/>
      <c r="O16" s="656"/>
      <c r="P16" s="386"/>
      <c r="Q16" s="387"/>
      <c r="R16" s="389"/>
      <c r="S16" s="658"/>
      <c r="T16" s="658"/>
      <c r="U16" s="659"/>
      <c r="V16" s="395"/>
      <c r="W16" s="387"/>
      <c r="X16" s="389"/>
      <c r="Y16" s="658"/>
      <c r="Z16" s="658"/>
      <c r="AA16" s="659"/>
      <c r="AB16" s="395"/>
      <c r="AC16" s="387"/>
      <c r="AD16" s="389"/>
      <c r="AE16" s="658"/>
      <c r="AF16" s="658"/>
      <c r="AG16" s="659"/>
    </row>
    <row r="17" spans="1:35" s="99" customFormat="1">
      <c r="A17" s="99" t="s">
        <v>2040</v>
      </c>
      <c r="B17" s="99">
        <v>17</v>
      </c>
      <c r="C17" s="99" t="s">
        <v>332</v>
      </c>
      <c r="D17" s="523">
        <f>'Cover Page'!K4</f>
        <v>2016</v>
      </c>
      <c r="E17" s="101" t="s">
        <v>2031</v>
      </c>
      <c r="F17" s="101" t="s">
        <v>2157</v>
      </c>
      <c r="G17" s="99" t="s">
        <v>2158</v>
      </c>
      <c r="H17" s="505">
        <f>'Cover Page'!M38</f>
        <v>0</v>
      </c>
      <c r="J17" s="364"/>
      <c r="K17" s="112"/>
      <c r="L17" s="113"/>
      <c r="M17" s="265"/>
      <c r="N17" s="265"/>
      <c r="O17" s="656"/>
      <c r="P17" s="386"/>
      <c r="Q17" s="387"/>
      <c r="R17" s="389"/>
      <c r="S17" s="658"/>
      <c r="T17" s="658"/>
      <c r="U17" s="659"/>
      <c r="V17" s="395"/>
      <c r="W17" s="387"/>
      <c r="X17" s="389"/>
      <c r="Y17" s="658"/>
      <c r="Z17" s="658"/>
      <c r="AA17" s="659"/>
      <c r="AB17" s="395"/>
      <c r="AC17" s="387"/>
      <c r="AD17" s="389"/>
      <c r="AE17" s="658"/>
      <c r="AF17" s="658"/>
      <c r="AG17" s="659"/>
    </row>
    <row r="18" spans="1:35" s="99" customFormat="1">
      <c r="A18" s="99" t="s">
        <v>2040</v>
      </c>
      <c r="B18" s="99">
        <v>18</v>
      </c>
      <c r="C18" s="99" t="s">
        <v>332</v>
      </c>
      <c r="D18" s="523">
        <f>'Cover Page'!K4</f>
        <v>2016</v>
      </c>
      <c r="E18" s="101" t="s">
        <v>2031</v>
      </c>
      <c r="F18" s="101" t="s">
        <v>2157</v>
      </c>
      <c r="G18" s="99" t="s">
        <v>2158</v>
      </c>
      <c r="H18" s="505">
        <f>'Cover Page'!M38</f>
        <v>0</v>
      </c>
      <c r="J18" s="364"/>
      <c r="K18" s="112"/>
      <c r="L18" s="113"/>
      <c r="M18" s="265"/>
      <c r="N18" s="265"/>
      <c r="O18" s="656"/>
      <c r="P18" s="386"/>
      <c r="Q18" s="387"/>
      <c r="R18" s="389"/>
      <c r="S18" s="658"/>
      <c r="T18" s="658"/>
      <c r="U18" s="659"/>
      <c r="V18" s="395"/>
      <c r="W18" s="387"/>
      <c r="X18" s="389"/>
      <c r="Y18" s="658"/>
      <c r="Z18" s="658"/>
      <c r="AA18" s="659"/>
      <c r="AB18" s="395"/>
      <c r="AC18" s="387"/>
      <c r="AD18" s="389"/>
      <c r="AE18" s="658"/>
      <c r="AF18" s="658"/>
      <c r="AG18" s="659"/>
    </row>
    <row r="19" spans="1:35" s="99" customFormat="1">
      <c r="A19" s="99" t="s">
        <v>2040</v>
      </c>
      <c r="B19" s="99">
        <v>19</v>
      </c>
      <c r="C19" s="99" t="s">
        <v>332</v>
      </c>
      <c r="D19" s="523">
        <f>'Cover Page'!K4</f>
        <v>2016</v>
      </c>
      <c r="E19" s="101" t="s">
        <v>2031</v>
      </c>
      <c r="F19" s="101" t="s">
        <v>2157</v>
      </c>
      <c r="G19" s="99" t="s">
        <v>2158</v>
      </c>
      <c r="H19" s="505">
        <f>'Cover Page'!M38</f>
        <v>0</v>
      </c>
      <c r="J19" s="364"/>
      <c r="K19" s="112"/>
      <c r="L19" s="113"/>
      <c r="M19" s="265"/>
      <c r="N19" s="265"/>
      <c r="O19" s="656"/>
      <c r="P19" s="386"/>
      <c r="Q19" s="387"/>
      <c r="R19" s="389"/>
      <c r="S19" s="658"/>
      <c r="T19" s="658"/>
      <c r="U19" s="659"/>
      <c r="V19" s="395"/>
      <c r="W19" s="387"/>
      <c r="X19" s="389"/>
      <c r="Y19" s="658"/>
      <c r="Z19" s="658"/>
      <c r="AA19" s="659"/>
      <c r="AB19" s="395"/>
      <c r="AC19" s="387"/>
      <c r="AD19" s="389"/>
      <c r="AE19" s="658"/>
      <c r="AF19" s="658"/>
      <c r="AG19" s="659"/>
    </row>
    <row r="20" spans="1:35" s="99" customFormat="1">
      <c r="A20" s="99" t="s">
        <v>2040</v>
      </c>
      <c r="B20" s="99">
        <v>20</v>
      </c>
      <c r="C20" s="99" t="s">
        <v>332</v>
      </c>
      <c r="D20" s="523">
        <f>'Cover Page'!K4</f>
        <v>2016</v>
      </c>
      <c r="E20" s="101" t="s">
        <v>2031</v>
      </c>
      <c r="F20" s="101" t="s">
        <v>2157</v>
      </c>
      <c r="G20" s="99" t="s">
        <v>2158</v>
      </c>
      <c r="H20" s="505">
        <f>'Cover Page'!M38</f>
        <v>0</v>
      </c>
      <c r="J20" s="364"/>
      <c r="K20" s="112"/>
      <c r="L20" s="113"/>
      <c r="M20" s="264"/>
      <c r="N20" s="264"/>
      <c r="O20" s="656"/>
      <c r="P20" s="386"/>
      <c r="Q20" s="387"/>
      <c r="R20" s="389"/>
      <c r="S20" s="660"/>
      <c r="T20" s="660"/>
      <c r="U20" s="659"/>
      <c r="V20" s="395"/>
      <c r="W20" s="387"/>
      <c r="X20" s="389"/>
      <c r="Y20" s="660"/>
      <c r="Z20" s="660"/>
      <c r="AA20" s="659"/>
      <c r="AB20" s="395"/>
      <c r="AC20" s="387"/>
      <c r="AD20" s="389"/>
      <c r="AE20" s="660"/>
      <c r="AF20" s="660"/>
      <c r="AG20" s="659"/>
    </row>
    <row r="21" spans="1:35" s="99" customFormat="1">
      <c r="A21" s="99" t="s">
        <v>2040</v>
      </c>
      <c r="B21" s="99">
        <v>21</v>
      </c>
      <c r="C21" s="99" t="s">
        <v>332</v>
      </c>
      <c r="D21" s="523">
        <f>'Cover Page'!K4</f>
        <v>2016</v>
      </c>
      <c r="E21" s="101" t="s">
        <v>2031</v>
      </c>
      <c r="F21" s="101" t="s">
        <v>2157</v>
      </c>
      <c r="G21" s="99" t="s">
        <v>2158</v>
      </c>
      <c r="H21" s="505">
        <f>'Cover Page'!M38</f>
        <v>0</v>
      </c>
      <c r="J21" s="364"/>
      <c r="K21" s="112"/>
      <c r="L21" s="113"/>
      <c r="M21" s="264"/>
      <c r="N21" s="264"/>
      <c r="O21" s="656"/>
      <c r="P21" s="386"/>
      <c r="Q21" s="387"/>
      <c r="R21" s="389"/>
      <c r="S21" s="660"/>
      <c r="T21" s="660"/>
      <c r="U21" s="659"/>
      <c r="V21" s="395"/>
      <c r="W21" s="387"/>
      <c r="X21" s="389"/>
      <c r="Y21" s="660"/>
      <c r="Z21" s="660"/>
      <c r="AA21" s="659"/>
      <c r="AB21" s="395"/>
      <c r="AC21" s="387"/>
      <c r="AD21" s="389"/>
      <c r="AE21" s="660"/>
      <c r="AF21" s="660"/>
      <c r="AG21" s="659"/>
    </row>
    <row r="22" spans="1:35" s="99" customFormat="1">
      <c r="A22" s="99" t="s">
        <v>2040</v>
      </c>
      <c r="B22" s="99">
        <v>22</v>
      </c>
      <c r="C22" s="99" t="s">
        <v>332</v>
      </c>
      <c r="D22" s="523">
        <f>'Cover Page'!K4</f>
        <v>2016</v>
      </c>
      <c r="E22" s="101" t="s">
        <v>2031</v>
      </c>
      <c r="F22" s="101" t="s">
        <v>2157</v>
      </c>
      <c r="G22" s="99" t="s">
        <v>2158</v>
      </c>
      <c r="H22" s="505">
        <f>'Cover Page'!M38</f>
        <v>0</v>
      </c>
      <c r="J22" s="364"/>
      <c r="K22" s="112"/>
      <c r="L22" s="113"/>
      <c r="M22" s="264"/>
      <c r="N22" s="264"/>
      <c r="O22" s="656"/>
      <c r="P22" s="386"/>
      <c r="Q22" s="387"/>
      <c r="R22" s="389"/>
      <c r="S22" s="660"/>
      <c r="T22" s="660"/>
      <c r="U22" s="659"/>
      <c r="V22" s="395"/>
      <c r="W22" s="387"/>
      <c r="X22" s="389"/>
      <c r="Y22" s="660"/>
      <c r="Z22" s="660"/>
      <c r="AA22" s="659"/>
      <c r="AB22" s="395"/>
      <c r="AC22" s="387"/>
      <c r="AD22" s="389"/>
      <c r="AE22" s="660"/>
      <c r="AF22" s="660"/>
      <c r="AG22" s="659"/>
    </row>
    <row r="23" spans="1:35" s="99" customFormat="1">
      <c r="A23" s="99" t="s">
        <v>2040</v>
      </c>
      <c r="B23" s="99">
        <v>23</v>
      </c>
      <c r="C23" s="99" t="s">
        <v>332</v>
      </c>
      <c r="D23" s="523">
        <f>'Cover Page'!K4</f>
        <v>2016</v>
      </c>
      <c r="E23" s="101" t="s">
        <v>2031</v>
      </c>
      <c r="F23" s="101" t="s">
        <v>2157</v>
      </c>
      <c r="G23" s="99" t="s">
        <v>2158</v>
      </c>
      <c r="H23" s="505">
        <f>'Cover Page'!M38</f>
        <v>0</v>
      </c>
      <c r="J23" s="364"/>
      <c r="K23" s="112"/>
      <c r="L23" s="113"/>
      <c r="M23" s="264"/>
      <c r="N23" s="264"/>
      <c r="O23" s="656"/>
      <c r="P23" s="386"/>
      <c r="Q23" s="387"/>
      <c r="R23" s="389"/>
      <c r="S23" s="660"/>
      <c r="T23" s="660"/>
      <c r="U23" s="659"/>
      <c r="V23" s="395"/>
      <c r="W23" s="387"/>
      <c r="X23" s="389"/>
      <c r="Y23" s="660"/>
      <c r="Z23" s="660"/>
      <c r="AA23" s="659"/>
      <c r="AB23" s="395"/>
      <c r="AC23" s="387"/>
      <c r="AD23" s="389"/>
      <c r="AE23" s="660"/>
      <c r="AF23" s="660"/>
      <c r="AG23" s="659"/>
    </row>
    <row r="24" spans="1:35" s="99" customFormat="1">
      <c r="A24" s="99" t="s">
        <v>2040</v>
      </c>
      <c r="B24" s="99">
        <v>24</v>
      </c>
      <c r="C24" s="99" t="s">
        <v>332</v>
      </c>
      <c r="D24" s="523">
        <f>'Cover Page'!K4</f>
        <v>2016</v>
      </c>
      <c r="E24" s="101" t="s">
        <v>2031</v>
      </c>
      <c r="F24" s="101" t="s">
        <v>2157</v>
      </c>
      <c r="G24" s="99" t="s">
        <v>2158</v>
      </c>
      <c r="H24" s="505">
        <f>'Cover Page'!M38</f>
        <v>0</v>
      </c>
      <c r="J24" s="364"/>
      <c r="K24" s="112"/>
      <c r="L24" s="113"/>
      <c r="M24" s="264"/>
      <c r="N24" s="264"/>
      <c r="O24" s="656"/>
      <c r="P24" s="386"/>
      <c r="Q24" s="387"/>
      <c r="R24" s="389"/>
      <c r="S24" s="660"/>
      <c r="T24" s="660"/>
      <c r="U24" s="659"/>
      <c r="V24" s="395"/>
      <c r="W24" s="387"/>
      <c r="X24" s="389"/>
      <c r="Y24" s="660"/>
      <c r="Z24" s="660"/>
      <c r="AA24" s="659"/>
      <c r="AB24" s="395"/>
      <c r="AC24" s="387"/>
      <c r="AD24" s="389"/>
      <c r="AE24" s="660"/>
      <c r="AF24" s="660"/>
      <c r="AG24" s="659"/>
    </row>
    <row r="25" spans="1:35" s="99" customFormat="1">
      <c r="A25" s="99" t="s">
        <v>2040</v>
      </c>
      <c r="B25" s="99">
        <v>25</v>
      </c>
      <c r="C25" s="99" t="s">
        <v>332</v>
      </c>
      <c r="D25" s="523">
        <f>'Cover Page'!K4</f>
        <v>2016</v>
      </c>
      <c r="E25" s="101" t="s">
        <v>2031</v>
      </c>
      <c r="F25" s="101" t="s">
        <v>2157</v>
      </c>
      <c r="G25" s="99" t="s">
        <v>2158</v>
      </c>
      <c r="H25" s="505">
        <f>'Cover Page'!M38</f>
        <v>0</v>
      </c>
      <c r="J25" s="364"/>
      <c r="K25" s="112"/>
      <c r="L25" s="113"/>
      <c r="M25" s="264"/>
      <c r="N25" s="264"/>
      <c r="O25" s="656"/>
      <c r="P25" s="386"/>
      <c r="Q25" s="387"/>
      <c r="R25" s="389"/>
      <c r="S25" s="660"/>
      <c r="T25" s="660"/>
      <c r="U25" s="659"/>
      <c r="V25" s="395"/>
      <c r="W25" s="387"/>
      <c r="X25" s="389"/>
      <c r="Y25" s="660"/>
      <c r="Z25" s="660"/>
      <c r="AA25" s="659"/>
      <c r="AB25" s="395"/>
      <c r="AC25" s="387"/>
      <c r="AD25" s="389"/>
      <c r="AE25" s="660"/>
      <c r="AF25" s="660"/>
      <c r="AG25" s="659"/>
    </row>
    <row r="26" spans="1:35" s="99" customFormat="1">
      <c r="A26" s="99" t="s">
        <v>2040</v>
      </c>
      <c r="B26" s="99">
        <v>26</v>
      </c>
      <c r="C26" s="99" t="s">
        <v>332</v>
      </c>
      <c r="D26" s="523">
        <f>'Cover Page'!K4</f>
        <v>2016</v>
      </c>
      <c r="E26" s="101" t="s">
        <v>2031</v>
      </c>
      <c r="F26" s="101" t="s">
        <v>2157</v>
      </c>
      <c r="G26" s="99" t="s">
        <v>2158</v>
      </c>
      <c r="H26" s="505">
        <f>'Cover Page'!M38</f>
        <v>0</v>
      </c>
      <c r="J26" s="364"/>
      <c r="K26" s="112"/>
      <c r="L26" s="113"/>
      <c r="M26" s="264"/>
      <c r="N26" s="264"/>
      <c r="O26" s="656"/>
      <c r="P26" s="386"/>
      <c r="Q26" s="387"/>
      <c r="R26" s="389"/>
      <c r="S26" s="660"/>
      <c r="T26" s="660"/>
      <c r="U26" s="659"/>
      <c r="V26" s="395"/>
      <c r="W26" s="387"/>
      <c r="X26" s="389"/>
      <c r="Y26" s="660"/>
      <c r="Z26" s="660"/>
      <c r="AA26" s="659"/>
      <c r="AB26" s="395"/>
      <c r="AC26" s="387"/>
      <c r="AD26" s="389"/>
      <c r="AE26" s="660"/>
      <c r="AF26" s="660"/>
      <c r="AG26" s="659"/>
    </row>
    <row r="27" spans="1:35" s="99" customFormat="1">
      <c r="A27" s="99" t="s">
        <v>2040</v>
      </c>
      <c r="B27" s="99">
        <v>27</v>
      </c>
      <c r="C27" s="99" t="s">
        <v>332</v>
      </c>
      <c r="D27" s="523">
        <f>'Cover Page'!K4</f>
        <v>2016</v>
      </c>
      <c r="E27" s="101" t="s">
        <v>2031</v>
      </c>
      <c r="F27" s="101" t="s">
        <v>2157</v>
      </c>
      <c r="G27" s="99" t="s">
        <v>2158</v>
      </c>
      <c r="H27" s="505">
        <f>'Cover Page'!M38</f>
        <v>0</v>
      </c>
      <c r="J27" s="364"/>
      <c r="K27" s="112"/>
      <c r="L27" s="113"/>
      <c r="M27" s="264"/>
      <c r="N27" s="264"/>
      <c r="O27" s="656"/>
      <c r="P27" s="386"/>
      <c r="Q27" s="387"/>
      <c r="R27" s="389"/>
      <c r="S27" s="660"/>
      <c r="T27" s="660"/>
      <c r="U27" s="659"/>
      <c r="V27" s="395"/>
      <c r="W27" s="387"/>
      <c r="X27" s="389"/>
      <c r="Y27" s="660"/>
      <c r="Z27" s="660"/>
      <c r="AA27" s="659"/>
      <c r="AB27" s="395"/>
      <c r="AC27" s="387"/>
      <c r="AD27" s="389"/>
      <c r="AE27" s="660"/>
      <c r="AF27" s="660"/>
      <c r="AG27" s="659"/>
      <c r="AI27" s="99" t="s">
        <v>280</v>
      </c>
    </row>
    <row r="28" spans="1:35" s="99" customFormat="1">
      <c r="A28" s="99" t="s">
        <v>2040</v>
      </c>
      <c r="B28" s="99">
        <v>28</v>
      </c>
      <c r="C28" s="99" t="s">
        <v>332</v>
      </c>
      <c r="D28" s="523">
        <f>'Cover Page'!K4</f>
        <v>2016</v>
      </c>
      <c r="E28" s="101" t="s">
        <v>2031</v>
      </c>
      <c r="F28" s="101" t="s">
        <v>2157</v>
      </c>
      <c r="G28" s="99" t="s">
        <v>2158</v>
      </c>
      <c r="H28" s="505">
        <f>'Cover Page'!M38</f>
        <v>0</v>
      </c>
      <c r="J28" s="364"/>
      <c r="K28" s="112"/>
      <c r="L28" s="113"/>
      <c r="M28" s="264"/>
      <c r="N28" s="264"/>
      <c r="O28" s="656"/>
      <c r="P28" s="386"/>
      <c r="Q28" s="387"/>
      <c r="R28" s="389"/>
      <c r="S28" s="660"/>
      <c r="T28" s="660"/>
      <c r="U28" s="659"/>
      <c r="V28" s="395"/>
      <c r="W28" s="387"/>
      <c r="X28" s="389"/>
      <c r="Y28" s="660"/>
      <c r="Z28" s="660"/>
      <c r="AA28" s="659"/>
      <c r="AB28" s="395"/>
      <c r="AC28" s="387"/>
      <c r="AD28" s="389"/>
      <c r="AE28" s="660"/>
      <c r="AF28" s="660"/>
      <c r="AG28" s="659"/>
      <c r="AI28" s="99" t="s">
        <v>279</v>
      </c>
    </row>
    <row r="29" spans="1:35" s="99" customFormat="1">
      <c r="A29" s="99" t="s">
        <v>2040</v>
      </c>
      <c r="B29" s="99">
        <v>29</v>
      </c>
      <c r="C29" s="99" t="s">
        <v>332</v>
      </c>
      <c r="D29" s="523">
        <f>'Cover Page'!K4</f>
        <v>2016</v>
      </c>
      <c r="E29" s="101" t="s">
        <v>2031</v>
      </c>
      <c r="F29" s="101" t="s">
        <v>2157</v>
      </c>
      <c r="G29" s="99" t="s">
        <v>2158</v>
      </c>
      <c r="H29" s="505">
        <f>'Cover Page'!M38</f>
        <v>0</v>
      </c>
      <c r="J29" s="364"/>
      <c r="K29" s="112"/>
      <c r="L29" s="113"/>
      <c r="M29" s="264"/>
      <c r="N29" s="264"/>
      <c r="O29" s="656"/>
      <c r="P29" s="386"/>
      <c r="Q29" s="387"/>
      <c r="R29" s="389"/>
      <c r="S29" s="660"/>
      <c r="T29" s="660"/>
      <c r="U29" s="659"/>
      <c r="V29" s="395"/>
      <c r="W29" s="387"/>
      <c r="X29" s="389"/>
      <c r="Y29" s="660"/>
      <c r="Z29" s="660"/>
      <c r="AA29" s="659"/>
      <c r="AB29" s="395"/>
      <c r="AC29" s="387"/>
      <c r="AD29" s="389"/>
      <c r="AE29" s="660"/>
      <c r="AF29" s="660"/>
      <c r="AG29" s="659"/>
      <c r="AI29" s="99" t="s">
        <v>278</v>
      </c>
    </row>
    <row r="30" spans="1:35" s="99" customFormat="1">
      <c r="A30" s="99" t="s">
        <v>2040</v>
      </c>
      <c r="B30" s="99">
        <v>30</v>
      </c>
      <c r="C30" s="99" t="s">
        <v>332</v>
      </c>
      <c r="D30" s="523">
        <f>'Cover Page'!K4</f>
        <v>2016</v>
      </c>
      <c r="E30" s="101" t="s">
        <v>2031</v>
      </c>
      <c r="F30" s="101" t="s">
        <v>2157</v>
      </c>
      <c r="G30" s="99" t="s">
        <v>2158</v>
      </c>
      <c r="H30" s="505">
        <f>'Cover Page'!M38</f>
        <v>0</v>
      </c>
      <c r="J30" s="364"/>
      <c r="K30" s="112"/>
      <c r="L30" s="113"/>
      <c r="M30" s="264"/>
      <c r="N30" s="264"/>
      <c r="O30" s="657"/>
      <c r="P30" s="386"/>
      <c r="Q30" s="387"/>
      <c r="R30" s="389"/>
      <c r="S30" s="660"/>
      <c r="T30" s="660"/>
      <c r="U30" s="659"/>
      <c r="V30" s="395"/>
      <c r="W30" s="387"/>
      <c r="X30" s="389"/>
      <c r="Y30" s="660"/>
      <c r="Z30" s="660"/>
      <c r="AA30" s="659"/>
      <c r="AB30" s="395"/>
      <c r="AC30" s="387"/>
      <c r="AD30" s="389"/>
      <c r="AE30" s="660"/>
      <c r="AF30" s="660"/>
      <c r="AG30" s="659"/>
    </row>
    <row r="31" spans="1:35" s="99" customFormat="1" ht="13.15" customHeight="1">
      <c r="A31" s="99" t="s">
        <v>2040</v>
      </c>
      <c r="B31" s="99">
        <v>31</v>
      </c>
      <c r="C31" s="99" t="s">
        <v>332</v>
      </c>
      <c r="D31" s="523">
        <f>'Cover Page'!K4</f>
        <v>2016</v>
      </c>
      <c r="E31" s="101" t="s">
        <v>2031</v>
      </c>
      <c r="F31" s="101" t="s">
        <v>2157</v>
      </c>
      <c r="G31" s="99" t="s">
        <v>2158</v>
      </c>
      <c r="H31" s="505">
        <f>'Cover Page'!M38</f>
        <v>0</v>
      </c>
      <c r="J31" s="364"/>
      <c r="K31" s="112"/>
      <c r="L31" s="113"/>
      <c r="M31" s="264"/>
      <c r="N31" s="264"/>
      <c r="O31" s="655"/>
      <c r="P31" s="386"/>
      <c r="Q31" s="387"/>
      <c r="R31" s="389"/>
      <c r="S31" s="660"/>
      <c r="T31" s="660"/>
      <c r="U31" s="659"/>
      <c r="V31" s="395"/>
      <c r="W31" s="387"/>
      <c r="X31" s="389"/>
      <c r="Y31" s="660"/>
      <c r="Z31" s="660"/>
      <c r="AA31" s="659"/>
      <c r="AB31" s="395"/>
      <c r="AC31" s="387"/>
      <c r="AD31" s="389"/>
      <c r="AE31" s="660"/>
      <c r="AF31" s="660"/>
      <c r="AG31" s="659"/>
    </row>
    <row r="32" spans="1:35" s="99" customFormat="1" ht="13.15" customHeight="1">
      <c r="A32" s="99" t="s">
        <v>2040</v>
      </c>
      <c r="B32" s="99">
        <v>32</v>
      </c>
      <c r="C32" s="99" t="s">
        <v>332</v>
      </c>
      <c r="D32" s="523">
        <f>'Cover Page'!K4</f>
        <v>2016</v>
      </c>
      <c r="E32" s="101" t="s">
        <v>2031</v>
      </c>
      <c r="F32" s="101" t="s">
        <v>2157</v>
      </c>
      <c r="G32" s="99" t="s">
        <v>2158</v>
      </c>
      <c r="H32" s="505">
        <f>'Cover Page'!M38</f>
        <v>0</v>
      </c>
      <c r="J32" s="364"/>
      <c r="K32" s="112"/>
      <c r="L32" s="113"/>
      <c r="M32" s="264"/>
      <c r="N32" s="264"/>
      <c r="O32" s="655"/>
      <c r="P32" s="386"/>
      <c r="Q32" s="387"/>
      <c r="R32" s="389"/>
      <c r="S32" s="660"/>
      <c r="T32" s="660"/>
      <c r="U32" s="660"/>
      <c r="V32" s="396"/>
      <c r="W32" s="387"/>
      <c r="X32" s="389"/>
      <c r="Y32" s="660"/>
      <c r="Z32" s="660"/>
      <c r="AA32" s="660"/>
      <c r="AB32" s="396"/>
      <c r="AC32" s="387"/>
      <c r="AD32" s="389"/>
      <c r="AE32" s="660"/>
      <c r="AF32" s="660"/>
      <c r="AG32" s="660"/>
    </row>
    <row r="33" spans="1:33" s="99" customFormat="1" ht="13.15" customHeight="1">
      <c r="A33" s="99" t="s">
        <v>2040</v>
      </c>
      <c r="B33" s="99">
        <v>33</v>
      </c>
      <c r="C33" s="99" t="s">
        <v>332</v>
      </c>
      <c r="D33" s="523">
        <f>'Cover Page'!K4</f>
        <v>2016</v>
      </c>
      <c r="E33" s="101" t="s">
        <v>2031</v>
      </c>
      <c r="F33" s="101" t="s">
        <v>2157</v>
      </c>
      <c r="G33" s="99" t="s">
        <v>2158</v>
      </c>
      <c r="H33" s="505">
        <f>'Cover Page'!M38</f>
        <v>0</v>
      </c>
      <c r="J33" s="366"/>
      <c r="K33" s="112"/>
      <c r="L33" s="113"/>
      <c r="M33" s="264"/>
      <c r="N33" s="264"/>
      <c r="O33" s="655"/>
      <c r="P33" s="386"/>
      <c r="Q33" s="387"/>
      <c r="R33" s="389"/>
      <c r="S33" s="660"/>
      <c r="T33" s="660"/>
      <c r="U33" s="658"/>
      <c r="V33" s="394"/>
      <c r="W33" s="387"/>
      <c r="X33" s="389"/>
      <c r="Y33" s="660"/>
      <c r="Z33" s="660"/>
      <c r="AA33" s="658"/>
      <c r="AB33" s="394"/>
      <c r="AC33" s="387"/>
      <c r="AD33" s="389"/>
      <c r="AE33" s="660"/>
      <c r="AF33" s="660"/>
      <c r="AG33" s="658"/>
    </row>
    <row r="34" spans="1:33" s="99" customFormat="1" ht="13.15" customHeight="1">
      <c r="A34" s="99" t="s">
        <v>2040</v>
      </c>
      <c r="B34" s="99">
        <v>34</v>
      </c>
      <c r="C34" s="99" t="s">
        <v>332</v>
      </c>
      <c r="D34" s="523">
        <f>'Cover Page'!K4</f>
        <v>2016</v>
      </c>
      <c r="E34" s="101" t="s">
        <v>2031</v>
      </c>
      <c r="F34" s="101" t="s">
        <v>2157</v>
      </c>
      <c r="G34" s="99" t="s">
        <v>2158</v>
      </c>
      <c r="H34" s="505">
        <f>'Cover Page'!M38</f>
        <v>0</v>
      </c>
      <c r="J34" s="366"/>
      <c r="K34" s="112"/>
      <c r="L34" s="113"/>
      <c r="M34" s="264"/>
      <c r="N34" s="264"/>
      <c r="O34" s="655"/>
      <c r="P34" s="386"/>
      <c r="Q34" s="387"/>
      <c r="R34" s="389"/>
      <c r="S34" s="660"/>
      <c r="T34" s="660"/>
      <c r="U34" s="658"/>
      <c r="V34" s="397"/>
      <c r="W34" s="387"/>
      <c r="X34" s="389"/>
      <c r="Y34" s="660"/>
      <c r="Z34" s="660"/>
      <c r="AA34" s="658"/>
      <c r="AB34" s="397"/>
      <c r="AC34" s="387"/>
      <c r="AD34" s="389"/>
      <c r="AE34" s="660"/>
      <c r="AF34" s="660"/>
      <c r="AG34" s="658"/>
    </row>
    <row r="35" spans="1:33" s="99" customFormat="1" ht="13.15" customHeight="1">
      <c r="A35" s="99" t="s">
        <v>2040</v>
      </c>
      <c r="B35" s="99">
        <v>35</v>
      </c>
      <c r="C35" s="99" t="s">
        <v>332</v>
      </c>
      <c r="D35" s="523">
        <f>'Cover Page'!K4</f>
        <v>2016</v>
      </c>
      <c r="E35" s="101" t="s">
        <v>2031</v>
      </c>
      <c r="F35" s="101" t="s">
        <v>2157</v>
      </c>
      <c r="G35" s="99" t="s">
        <v>2158</v>
      </c>
      <c r="H35" s="505">
        <f>'Cover Page'!M38</f>
        <v>0</v>
      </c>
      <c r="J35" s="366"/>
      <c r="K35" s="112"/>
      <c r="L35" s="113"/>
      <c r="M35" s="264"/>
      <c r="N35" s="264"/>
      <c r="O35" s="655"/>
      <c r="P35" s="386"/>
      <c r="Q35" s="387"/>
      <c r="R35" s="389"/>
      <c r="S35" s="660"/>
      <c r="T35" s="660"/>
      <c r="U35" s="658"/>
      <c r="V35" s="397"/>
      <c r="W35" s="387"/>
      <c r="X35" s="389"/>
      <c r="Y35" s="660"/>
      <c r="Z35" s="660"/>
      <c r="AA35" s="658"/>
      <c r="AB35" s="397"/>
      <c r="AC35" s="387"/>
      <c r="AD35" s="389"/>
      <c r="AE35" s="660"/>
      <c r="AF35" s="660"/>
      <c r="AG35" s="658"/>
    </row>
    <row r="36" spans="1:33" s="99" customFormat="1" ht="13.15" customHeight="1" thickBot="1">
      <c r="A36" s="99" t="s">
        <v>2040</v>
      </c>
      <c r="B36" s="99">
        <v>36</v>
      </c>
      <c r="C36" s="99" t="s">
        <v>332</v>
      </c>
      <c r="D36" s="523">
        <f>'Cover Page'!K4</f>
        <v>2016</v>
      </c>
      <c r="E36" s="101" t="s">
        <v>2031</v>
      </c>
      <c r="F36" s="101" t="s">
        <v>2157</v>
      </c>
      <c r="G36" s="99" t="s">
        <v>2158</v>
      </c>
      <c r="H36" s="505">
        <f>'Cover Page'!M38</f>
        <v>0</v>
      </c>
      <c r="J36" s="366"/>
      <c r="K36" s="112"/>
      <c r="L36" s="113"/>
      <c r="M36" s="264"/>
      <c r="N36" s="264"/>
      <c r="O36" s="655"/>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2016</v>
      </c>
      <c r="E37" s="101" t="s">
        <v>2031</v>
      </c>
      <c r="F37" s="101" t="s">
        <v>2157</v>
      </c>
      <c r="G37" s="99" t="s">
        <v>2160</v>
      </c>
      <c r="H37" s="505">
        <f>'Cover Page'!M38</f>
        <v>0</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2016</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75" thickTop="1">
      <c r="J39" s="726"/>
      <c r="K39" s="726"/>
      <c r="L39" s="726"/>
      <c r="M39" s="726"/>
      <c r="N39" s="726"/>
      <c r="O39" s="726"/>
      <c r="U39" s="727" t="s">
        <v>2276</v>
      </c>
      <c r="V39" s="728"/>
      <c r="W39" s="728"/>
      <c r="AG39" s="400" t="s">
        <v>284</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S14" sqref="S14"/>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1026</v>
      </c>
      <c r="D1" s="491">
        <f>'Cover Page'!K4</f>
        <v>2016</v>
      </c>
      <c r="E1" s="491" t="s">
        <v>2031</v>
      </c>
      <c r="F1" s="491" t="s">
        <v>2161</v>
      </c>
      <c r="G1" s="491"/>
      <c r="H1" s="505">
        <f>'Cover Page'!M38</f>
        <v>0</v>
      </c>
      <c r="J1" s="685" t="s">
        <v>0</v>
      </c>
      <c r="K1" s="685"/>
      <c r="L1" s="685"/>
      <c r="M1" s="685"/>
      <c r="N1" s="685"/>
      <c r="O1" s="685"/>
      <c r="P1" s="685"/>
      <c r="Q1" s="685"/>
      <c r="R1" s="685"/>
      <c r="S1" s="685"/>
    </row>
    <row r="2" spans="1:19" ht="18.75">
      <c r="A2" s="491" t="str">
        <f ca="1">MID(CELL("filename",A2),FIND("]",CELL("filename",A2))+1,256)</f>
        <v>UFB-7 Personnel Costs</v>
      </c>
      <c r="B2" s="491">
        <f>ROW()</f>
        <v>2</v>
      </c>
      <c r="C2" s="491" t="str">
        <f>'Cover Page'!K6</f>
        <v>1026</v>
      </c>
      <c r="D2" s="491">
        <f>'Cover Page'!K4</f>
        <v>2016</v>
      </c>
      <c r="E2" s="491" t="s">
        <v>2031</v>
      </c>
      <c r="F2" s="491" t="s">
        <v>2161</v>
      </c>
      <c r="G2" s="491" t="s">
        <v>121</v>
      </c>
      <c r="H2" s="505">
        <f>'Cover Page'!M38</f>
        <v>0</v>
      </c>
      <c r="J2" s="729" t="s">
        <v>152</v>
      </c>
      <c r="K2" s="729"/>
      <c r="L2" s="729"/>
      <c r="M2" s="729"/>
      <c r="N2" s="729"/>
      <c r="O2" s="729"/>
      <c r="P2" s="729"/>
      <c r="Q2" s="729"/>
      <c r="R2" s="729"/>
      <c r="S2" s="729"/>
    </row>
    <row r="3" spans="1:19" ht="12.75" customHeight="1">
      <c r="A3" s="491" t="str">
        <f t="shared" ref="A3:A19" ca="1" si="0">MID(CELL("filename",A3),FIND("]",CELL("filename",A3))+1,256)</f>
        <v>UFB-7 Personnel Costs</v>
      </c>
      <c r="B3" s="491">
        <f>ROW()</f>
        <v>3</v>
      </c>
      <c r="C3" s="491" t="str">
        <f>'Cover Page'!K6</f>
        <v>1026</v>
      </c>
      <c r="D3" s="491">
        <f>'Cover Page'!K4</f>
        <v>2016</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1026</v>
      </c>
      <c r="D4" s="491">
        <f>'Cover Page'!K4</f>
        <v>2016</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1026</v>
      </c>
      <c r="D5" s="491">
        <f>'Cover Page'!K4</f>
        <v>2016</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1026</v>
      </c>
      <c r="D6" s="491">
        <f>'Cover Page'!K4</f>
        <v>2016</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1026</v>
      </c>
      <c r="D7" s="491">
        <f>'Cover Page'!K4</f>
        <v>2016</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1026</v>
      </c>
      <c r="D8" s="491">
        <f>'Cover Page'!K4</f>
        <v>2016</v>
      </c>
      <c r="E8" s="491" t="s">
        <v>2031</v>
      </c>
      <c r="F8" s="491" t="s">
        <v>2161</v>
      </c>
      <c r="G8" s="491" t="s">
        <v>2162</v>
      </c>
      <c r="H8" s="505">
        <f>'Cover Page'!M38</f>
        <v>0</v>
      </c>
      <c r="J8" s="146" t="s">
        <v>169</v>
      </c>
      <c r="K8" s="147"/>
      <c r="L8" s="603"/>
      <c r="M8" s="604">
        <v>3</v>
      </c>
      <c r="N8" s="405">
        <f t="shared" ref="N8:N13" si="1">SUM(O8:S8)</f>
        <v>10681</v>
      </c>
      <c r="O8" s="618">
        <v>9446</v>
      </c>
      <c r="P8" s="619"/>
      <c r="Q8" s="620"/>
      <c r="R8" s="620"/>
      <c r="S8" s="621">
        <v>1235</v>
      </c>
    </row>
    <row r="9" spans="1:19" ht="15">
      <c r="A9" s="491" t="str">
        <f t="shared" ca="1" si="0"/>
        <v>UFB-7 Personnel Costs</v>
      </c>
      <c r="B9" s="491">
        <f>ROW()</f>
        <v>9</v>
      </c>
      <c r="C9" s="491" t="str">
        <f>'Cover Page'!K6</f>
        <v>1026</v>
      </c>
      <c r="D9" s="491">
        <f>'Cover Page'!K4</f>
        <v>2016</v>
      </c>
      <c r="E9" s="491" t="s">
        <v>2031</v>
      </c>
      <c r="F9" s="491" t="s">
        <v>2161</v>
      </c>
      <c r="G9" s="491" t="s">
        <v>2163</v>
      </c>
      <c r="H9" s="505">
        <f>'Cover Page'!M38</f>
        <v>0</v>
      </c>
      <c r="J9" s="146" t="s">
        <v>170</v>
      </c>
      <c r="K9" s="147"/>
      <c r="L9" s="605">
        <v>2</v>
      </c>
      <c r="M9" s="604">
        <v>8</v>
      </c>
      <c r="N9" s="405">
        <f t="shared" si="1"/>
        <v>534359</v>
      </c>
      <c r="O9" s="618">
        <v>352380</v>
      </c>
      <c r="P9" s="622"/>
      <c r="Q9" s="623">
        <v>37304</v>
      </c>
      <c r="R9" s="620">
        <v>84024</v>
      </c>
      <c r="S9" s="621">
        <v>60651</v>
      </c>
    </row>
    <row r="10" spans="1:19" ht="15">
      <c r="A10" s="491" t="str">
        <f ca="1">MID(CELL("filename",A10),FIND("]",CELL("filename",A10))+1,256)</f>
        <v>UFB-7 Personnel Costs</v>
      </c>
      <c r="B10" s="491">
        <f>ROW()</f>
        <v>10</v>
      </c>
      <c r="C10" s="491" t="str">
        <f>'Cover Page'!K6</f>
        <v>1026</v>
      </c>
      <c r="D10" s="491">
        <f>'Cover Page'!K4</f>
        <v>2016</v>
      </c>
      <c r="E10" s="491" t="s">
        <v>2031</v>
      </c>
      <c r="F10" s="491" t="s">
        <v>2161</v>
      </c>
      <c r="G10" s="491" t="s">
        <v>2164</v>
      </c>
      <c r="H10" s="505">
        <f>'Cover Page'!M38</f>
        <v>0</v>
      </c>
      <c r="J10" s="146" t="s">
        <v>171</v>
      </c>
      <c r="K10" s="147"/>
      <c r="L10" s="605">
        <v>7</v>
      </c>
      <c r="M10" s="604">
        <v>3</v>
      </c>
      <c r="N10" s="405">
        <f t="shared" si="1"/>
        <v>1056687</v>
      </c>
      <c r="O10" s="618">
        <v>593900</v>
      </c>
      <c r="P10" s="622">
        <v>71000</v>
      </c>
      <c r="Q10" s="623">
        <v>125116</v>
      </c>
      <c r="R10" s="620">
        <v>147043</v>
      </c>
      <c r="S10" s="621">
        <v>119628</v>
      </c>
    </row>
    <row r="11" spans="1:19" ht="15">
      <c r="A11" s="491" t="str">
        <f ca="1">MID(CELL("filename",A11),FIND("]",CELL("filename",A11))+1,256)</f>
        <v>UFB-7 Personnel Costs</v>
      </c>
      <c r="B11" s="491">
        <f>ROW()</f>
        <v>11</v>
      </c>
      <c r="C11" s="491" t="str">
        <f>'Cover Page'!K6</f>
        <v>1026</v>
      </c>
      <c r="D11" s="491">
        <f>'Cover Page'!K4</f>
        <v>2016</v>
      </c>
      <c r="E11" s="491" t="s">
        <v>2031</v>
      </c>
      <c r="F11" s="491" t="s">
        <v>2161</v>
      </c>
      <c r="G11" s="491" t="s">
        <v>2165</v>
      </c>
      <c r="H11" s="505">
        <f>'Cover Page'!M38</f>
        <v>0</v>
      </c>
      <c r="J11" s="146" t="s">
        <v>172</v>
      </c>
      <c r="K11" s="147"/>
      <c r="L11" s="605"/>
      <c r="M11" s="604"/>
      <c r="N11" s="405">
        <f t="shared" si="1"/>
        <v>0</v>
      </c>
      <c r="O11" s="618"/>
      <c r="P11" s="622"/>
      <c r="Q11" s="623"/>
      <c r="R11" s="620"/>
      <c r="S11" s="621"/>
    </row>
    <row r="12" spans="1:19" ht="15">
      <c r="A12" s="491" t="str">
        <f ca="1">MID(CELL("filename",A12),FIND("]",CELL("filename",A12))+1,256)</f>
        <v>UFB-7 Personnel Costs</v>
      </c>
      <c r="B12" s="491">
        <f>ROW()</f>
        <v>12</v>
      </c>
      <c r="C12" s="491" t="str">
        <f>'Cover Page'!K6</f>
        <v>1026</v>
      </c>
      <c r="D12" s="491">
        <f>'Cover Page'!K4</f>
        <v>2016</v>
      </c>
      <c r="E12" s="491" t="s">
        <v>2031</v>
      </c>
      <c r="F12" s="491" t="s">
        <v>2161</v>
      </c>
      <c r="G12" s="491" t="s">
        <v>2166</v>
      </c>
      <c r="H12" s="505">
        <f>'Cover Page'!M38</f>
        <v>0</v>
      </c>
      <c r="J12" s="146" t="s">
        <v>173</v>
      </c>
      <c r="K12" s="147"/>
      <c r="L12" s="605"/>
      <c r="M12" s="604"/>
      <c r="N12" s="405">
        <f t="shared" si="1"/>
        <v>0</v>
      </c>
      <c r="O12" s="618"/>
      <c r="P12" s="622"/>
      <c r="Q12" s="623"/>
      <c r="R12" s="620"/>
      <c r="S12" s="621"/>
    </row>
    <row r="13" spans="1:19" ht="15.75" thickBot="1">
      <c r="A13" s="491" t="str">
        <f ca="1">MID(CELL("filename",A13),FIND("]",CELL("filename",A13))+1,256)</f>
        <v>UFB-7 Personnel Costs</v>
      </c>
      <c r="B13" s="491">
        <f>ROW()</f>
        <v>13</v>
      </c>
      <c r="C13" s="491" t="str">
        <f>'Cover Page'!K6</f>
        <v>1026</v>
      </c>
      <c r="D13" s="491">
        <f>'Cover Page'!K4</f>
        <v>2016</v>
      </c>
      <c r="E13" s="491" t="s">
        <v>2031</v>
      </c>
      <c r="F13" s="491" t="s">
        <v>2161</v>
      </c>
      <c r="G13" s="491" t="s">
        <v>2167</v>
      </c>
      <c r="H13" s="505">
        <f>'Cover Page'!M38</f>
        <v>0</v>
      </c>
      <c r="J13" s="146" t="s">
        <v>174</v>
      </c>
      <c r="K13" s="148"/>
      <c r="L13" s="605">
        <v>5</v>
      </c>
      <c r="M13" s="604">
        <v>13</v>
      </c>
      <c r="N13" s="405">
        <f t="shared" si="1"/>
        <v>486193</v>
      </c>
      <c r="O13" s="618">
        <v>309889</v>
      </c>
      <c r="P13" s="622">
        <v>21000</v>
      </c>
      <c r="Q13" s="623">
        <v>15988</v>
      </c>
      <c r="R13" s="620">
        <v>84033</v>
      </c>
      <c r="S13" s="621">
        <v>55283</v>
      </c>
    </row>
    <row r="14" spans="1:19" ht="17.25" thickTop="1" thickBot="1">
      <c r="A14" s="491" t="str">
        <f t="shared" ca="1" si="0"/>
        <v>UFB-7 Personnel Costs</v>
      </c>
      <c r="B14" s="491">
        <f>ROW()</f>
        <v>14</v>
      </c>
      <c r="C14" s="491" t="str">
        <f>'Cover Page'!K6</f>
        <v>1026</v>
      </c>
      <c r="D14" s="491">
        <f>'Cover Page'!K4</f>
        <v>2016</v>
      </c>
      <c r="E14" s="491" t="s">
        <v>2031</v>
      </c>
      <c r="F14" s="491" t="s">
        <v>2161</v>
      </c>
      <c r="G14" s="491" t="s">
        <v>2168</v>
      </c>
      <c r="H14" s="505">
        <f>'Cover Page'!M38</f>
        <v>0</v>
      </c>
      <c r="J14" s="149" t="s">
        <v>175</v>
      </c>
      <c r="K14" s="151"/>
      <c r="L14" s="606">
        <f t="shared" ref="L14:S14" si="2">SUM(L8:L13)</f>
        <v>14</v>
      </c>
      <c r="M14" s="606">
        <f t="shared" si="2"/>
        <v>27</v>
      </c>
      <c r="N14" s="150">
        <f t="shared" si="2"/>
        <v>2087920</v>
      </c>
      <c r="O14" s="624">
        <f t="shared" si="2"/>
        <v>1265615</v>
      </c>
      <c r="P14" s="625">
        <f t="shared" si="2"/>
        <v>92000</v>
      </c>
      <c r="Q14" s="625">
        <f t="shared" si="2"/>
        <v>178408</v>
      </c>
      <c r="R14" s="625">
        <f t="shared" si="2"/>
        <v>315100</v>
      </c>
      <c r="S14" s="625">
        <f t="shared" si="2"/>
        <v>236797</v>
      </c>
    </row>
    <row r="15" spans="1:19" ht="16.5" thickTop="1">
      <c r="A15" s="491" t="str">
        <f t="shared" ca="1" si="0"/>
        <v>UFB-7 Personnel Costs</v>
      </c>
      <c r="B15" s="491">
        <f>ROW()</f>
        <v>15</v>
      </c>
      <c r="C15" s="491" t="str">
        <f>'Cover Page'!K6</f>
        <v>1026</v>
      </c>
      <c r="D15" s="491">
        <f>'Cover Page'!K4</f>
        <v>2016</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1026</v>
      </c>
      <c r="D16" s="491">
        <f>'Cover Page'!K4</f>
        <v>2016</v>
      </c>
      <c r="E16" s="491" t="s">
        <v>2031</v>
      </c>
      <c r="F16" s="491" t="s">
        <v>2161</v>
      </c>
      <c r="G16" s="491" t="s">
        <v>2169</v>
      </c>
      <c r="H16" s="505">
        <f>'Cover Page'!M38</f>
        <v>0</v>
      </c>
      <c r="J16" s="153" t="s">
        <v>257</v>
      </c>
      <c r="K16" s="152"/>
      <c r="L16" s="152"/>
      <c r="M16" s="152"/>
      <c r="N16" s="152"/>
      <c r="Q16" s="270" t="s">
        <v>291</v>
      </c>
      <c r="S16" s="152"/>
    </row>
    <row r="17" spans="1:19" ht="15.75">
      <c r="A17" s="491" t="str">
        <f t="shared" ca="1" si="0"/>
        <v>UFB-7 Personnel Costs</v>
      </c>
      <c r="B17" s="491">
        <f>ROW()</f>
        <v>17</v>
      </c>
      <c r="C17" s="491" t="str">
        <f>'Cover Page'!K6</f>
        <v>1026</v>
      </c>
      <c r="D17" s="491">
        <f>'Cover Page'!K4</f>
        <v>2016</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1026</v>
      </c>
      <c r="D18" s="491">
        <f>'Cover Page'!K4</f>
        <v>2016</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1026</v>
      </c>
      <c r="D19" s="491">
        <f>'Cover Page'!K4</f>
        <v>2016</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30" t="s">
        <v>178</v>
      </c>
      <c r="K26" s="730"/>
      <c r="L26" s="730"/>
      <c r="M26" s="730"/>
      <c r="N26" s="730"/>
      <c r="O26" s="730"/>
      <c r="P26" s="730"/>
      <c r="Q26" s="730"/>
      <c r="R26" s="730"/>
      <c r="S26" s="730"/>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Dave</cp:lastModifiedBy>
  <cp:lastPrinted>2016-05-27T16:20:19Z</cp:lastPrinted>
  <dcterms:created xsi:type="dcterms:W3CDTF">2014-08-15T14:29:15Z</dcterms:created>
  <dcterms:modified xsi:type="dcterms:W3CDTF">2021-03-18T21:11:03Z</dcterms:modified>
</cp:coreProperties>
</file>